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updateLinks="always" codeName="ThisWorkbook" autoCompressPictures="0"/>
  <mc:AlternateContent xmlns:mc="http://schemas.openxmlformats.org/markup-compatibility/2006">
    <mc:Choice Requires="x15">
      <x15ac:absPath xmlns:x15ac="http://schemas.microsoft.com/office/spreadsheetml/2010/11/ac" url="D:\Users\juan.velasco\Desktop\Documentos para cargar\"/>
    </mc:Choice>
  </mc:AlternateContent>
  <xr:revisionPtr revIDLastSave="0" documentId="8_{37849BB4-9B49-4C40-83F3-6ADBF6DB5FE6}" xr6:coauthVersionLast="47" xr6:coauthVersionMax="47" xr10:uidLastSave="{00000000-0000-0000-0000-000000000000}"/>
  <bookViews>
    <workbookView xWindow="-120" yWindow="-120" windowWidth="20730" windowHeight="11160" tabRatio="656" xr2:uid="{00000000-000D-0000-FFFF-FFFF00000000}"/>
  </bookViews>
  <sheets>
    <sheet name="F 1.2 - Ingresos F.E " sheetId="10" r:id="rId1"/>
    <sheet name="F 1.2A Cálculo I-F.E." sheetId="19" r:id="rId2"/>
    <sheet name="F2 Gastos" sheetId="20" r:id="rId3"/>
    <sheet name="F3-Clas. Económica" sheetId="21" r:id="rId4"/>
    <sheet name="F4 Planta" sheetId="22" r:id="rId5"/>
    <sheet name="F4A Nóm" sheetId="23" r:id="rId6"/>
    <sheet name="DESPLEGABLES" sheetId="2" state="hidden" r:id="rId7"/>
  </sheets>
  <externalReferences>
    <externalReference r:id="rId8"/>
    <externalReference r:id="rId9"/>
    <externalReference r:id="rId10"/>
    <externalReference r:id="rId11"/>
  </externalReferences>
  <definedNames>
    <definedName name="_xlnm._FilterDatabase" localSheetId="6" hidden="1">DESPLEGABLES!$P$1:$Q$31</definedName>
    <definedName name="_ftn1" localSheetId="6">DESPLEGABLES!$Y$69</definedName>
    <definedName name="_ftnref1" localSheetId="6">DESPLEGABLES!$Y$60</definedName>
    <definedName name="activo" localSheetId="1">[1]DESPLEGABLES!#REF!</definedName>
    <definedName name="activo" localSheetId="2">[1]DESPLEGABLES!#REF!</definedName>
    <definedName name="activo" localSheetId="3">[2]DESPLEGABLES!#REF!</definedName>
    <definedName name="activo">DESPLEGABLES!#REF!</definedName>
    <definedName name="bien_o_servicio" localSheetId="1">[1]DESPLEGABLES!#REF!</definedName>
    <definedName name="bien_o_servicio" localSheetId="2">[1]DESPLEGABLES!#REF!</definedName>
    <definedName name="bien_o_servicio" localSheetId="3">[2]DESPLEGABLES!#REF!</definedName>
    <definedName name="bien_o_servicio">DESPLEGABLES!#REF!</definedName>
    <definedName name="CPC" localSheetId="1">[1]DESPLEGABLES!#REF!</definedName>
    <definedName name="CPC" localSheetId="2">[1]DESPLEGABLES!#REF!</definedName>
    <definedName name="CPC" localSheetId="3">[2]DESPLEGABLES!#REF!</definedName>
    <definedName name="CPC">DESPLEGABLES!#REF!</definedName>
    <definedName name="Derechos_administrativos" localSheetId="1">[1]DESPLEGABLES!#REF!</definedName>
    <definedName name="Derechos_administrativos" localSheetId="2">[1]DESPLEGABLES!#REF!</definedName>
    <definedName name="Derechos_administrativos" localSheetId="3">[2]DESPLEGABLES!#REF!</definedName>
    <definedName name="Derechos_administrativos">DESPLEGABLES!#REF!</definedName>
    <definedName name="Fondos" localSheetId="1">[1]DESPLEGABLES!#REF!</definedName>
    <definedName name="Fondos" localSheetId="2">[1]DESPLEGABLES!#REF!</definedName>
    <definedName name="Fondos" localSheetId="3">[2]DESPLEGABLES!#REF!</definedName>
    <definedName name="Fondos">DESPLEGABLES!#REF!</definedName>
    <definedName name="TIPO_DE_INGRESO" localSheetId="1">[1]DESPLEGABLES!#REF!</definedName>
    <definedName name="TIPO_DE_INGRESO" localSheetId="2">[1]DESPLEGABLES!#REF!</definedName>
    <definedName name="TIPO_DE_INGRESO" localSheetId="3">[2]DESPLEGABLES!#REF!</definedName>
    <definedName name="TIPO_DE_INGRESO">DESPLEGABLES!#REF!</definedName>
    <definedName name="TIPO_DE_INGRESO_A_REGISTRAR" localSheetId="1">[1]DESPLEGABLES!#REF!</definedName>
    <definedName name="TIPO_DE_INGRESO_A_REGISTRAR" localSheetId="2">[1]DESPLEGABLES!#REF!</definedName>
    <definedName name="TIPO_DE_INGRESO_A_REGISTRAR" localSheetId="3">[2]DESPLEGABLES!#REF!</definedName>
    <definedName name="TIPO_DE_INGRESO_A_REGISTRAR">DESPLEGABLES!#REF!</definedName>
    <definedName name="TIPO_INGRESO" localSheetId="1">[1]DESPLEGABLES!#REF!</definedName>
    <definedName name="TIPO_INGRESO" localSheetId="2">[1]DESPLEGABLES!#REF!</definedName>
    <definedName name="TIPO_INGRESO" localSheetId="3">[2]DESPLEGABLES!#REF!</definedName>
    <definedName name="TIPO_INGRESO">DESPLEGABLES!#REF!</definedName>
    <definedName name="Ventas_de_establecimientos_de_mercado" localSheetId="1">[1]DESPLEGABLES!#REF!</definedName>
    <definedName name="Ventas_de_establecimientos_de_mercado" localSheetId="2">[1]DESPLEGABLES!#REF!</definedName>
    <definedName name="Ventas_de_establecimientos_de_mercado" localSheetId="3">[2]DESPLEGABLES!#REF!</definedName>
    <definedName name="Ventas_de_establecimientos_de_mercado">DESPLEGABLES!#REF!</definedName>
    <definedName name="Ventas_incidentales_de_establecimiento_no_de_mercado" localSheetId="1">[1]DESPLEGABLES!#REF!</definedName>
    <definedName name="Ventas_incidentales_de_establecimiento_no_de_mercado" localSheetId="2">[1]DESPLEGABLES!#REF!</definedName>
    <definedName name="Ventas_incidentales_de_establecimiento_no_de_mercado" localSheetId="3">[2]DESPLEGABLES!#REF!</definedName>
    <definedName name="Ventas_incidentales_de_establecimiento_no_de_mercado">DESPLEGABLES!#REF!</definedName>
    <definedName name="Ventas_incidentales_de_establecimientos_no_de_mercado" localSheetId="1">[1]DESPLEGABLES!#REF!</definedName>
    <definedName name="Ventas_incidentales_de_establecimientos_no_de_mercado" localSheetId="2">[1]DESPLEGABLES!#REF!</definedName>
    <definedName name="Ventas_incidentales_de_establecimientos_no_de_mercado" localSheetId="3">[2]DESPLEGABLES!#REF!</definedName>
    <definedName name="Ventas_incidentales_de_establecimientos_no_de_mercado">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23" l="1"/>
  <c r="G49" i="23"/>
  <c r="F49" i="23"/>
  <c r="E49" i="23"/>
  <c r="I48" i="23"/>
  <c r="J48" i="23" s="1"/>
  <c r="I47" i="23"/>
  <c r="I49" i="23" s="1"/>
  <c r="I43" i="23"/>
  <c r="J43" i="23" s="1"/>
  <c r="I42" i="23"/>
  <c r="J42" i="23" s="1"/>
  <c r="I41" i="23"/>
  <c r="H41" i="23"/>
  <c r="G41" i="23"/>
  <c r="F41" i="23"/>
  <c r="E41" i="23"/>
  <c r="J41" i="23" s="1"/>
  <c r="I40" i="23"/>
  <c r="J40" i="23" s="1"/>
  <c r="I39" i="23"/>
  <c r="H39" i="23"/>
  <c r="G39" i="23"/>
  <c r="F39" i="23"/>
  <c r="E39" i="23"/>
  <c r="J39" i="23" s="1"/>
  <c r="I38" i="23"/>
  <c r="J38" i="23" s="1"/>
  <c r="I37" i="23"/>
  <c r="J37" i="23" s="1"/>
  <c r="I36" i="23"/>
  <c r="J36" i="23" s="1"/>
  <c r="I35" i="23"/>
  <c r="J35" i="23" s="1"/>
  <c r="I34" i="23"/>
  <c r="J34" i="23" s="1"/>
  <c r="I33" i="23"/>
  <c r="J33" i="23" s="1"/>
  <c r="I32" i="23"/>
  <c r="J32" i="23" s="1"/>
  <c r="I31" i="23"/>
  <c r="J31" i="23" s="1"/>
  <c r="I30" i="23"/>
  <c r="J30" i="23" s="1"/>
  <c r="I29" i="23"/>
  <c r="J29" i="23" s="1"/>
  <c r="I28" i="23"/>
  <c r="J28" i="23" s="1"/>
  <c r="I27" i="23"/>
  <c r="J27" i="23" s="1"/>
  <c r="H26" i="23"/>
  <c r="H45" i="23" s="1"/>
  <c r="H50" i="23" s="1"/>
  <c r="G26" i="23"/>
  <c r="G45" i="23" s="1"/>
  <c r="G50" i="23" s="1"/>
  <c r="F26" i="23"/>
  <c r="E26" i="23"/>
  <c r="I25" i="23"/>
  <c r="J25" i="23" s="1"/>
  <c r="I24" i="23"/>
  <c r="J24" i="23" s="1"/>
  <c r="I23" i="23"/>
  <c r="J23" i="23" s="1"/>
  <c r="I22" i="23"/>
  <c r="J22" i="23" s="1"/>
  <c r="I21" i="23"/>
  <c r="J21" i="23" s="1"/>
  <c r="I20" i="23"/>
  <c r="J20" i="23" s="1"/>
  <c r="I19" i="23"/>
  <c r="J19" i="23" s="1"/>
  <c r="I18" i="23"/>
  <c r="J18" i="23" s="1"/>
  <c r="I17" i="23"/>
  <c r="H17" i="23"/>
  <c r="G17" i="23"/>
  <c r="F17" i="23"/>
  <c r="E17" i="23"/>
  <c r="J17" i="23" s="1"/>
  <c r="I16" i="23"/>
  <c r="J16" i="23" s="1"/>
  <c r="I15" i="23"/>
  <c r="H15" i="23"/>
  <c r="G15" i="23"/>
  <c r="F15" i="23"/>
  <c r="F45" i="23" s="1"/>
  <c r="F50" i="23" s="1"/>
  <c r="E15" i="23"/>
  <c r="J15" i="23" s="1"/>
  <c r="I45" i="23" l="1"/>
  <c r="I50" i="23" s="1"/>
  <c r="J47" i="23"/>
  <c r="J49" i="23" s="1"/>
  <c r="I26" i="23"/>
  <c r="J26" i="23" s="1"/>
  <c r="J45" i="23" s="1"/>
  <c r="J50" i="23" s="1"/>
  <c r="E45" i="23"/>
  <c r="E50" i="23" s="1"/>
  <c r="AS62" i="22" l="1"/>
  <c r="AR62" i="22"/>
  <c r="AP62" i="22"/>
  <c r="AO62" i="22"/>
  <c r="AN62" i="22"/>
  <c r="AM62" i="22"/>
  <c r="AL62" i="22"/>
  <c r="AK62" i="22"/>
  <c r="AJ62" i="22"/>
  <c r="AI62" i="22"/>
  <c r="AH62" i="22"/>
  <c r="AG62" i="22"/>
  <c r="AF62" i="22"/>
  <c r="AD62" i="22"/>
  <c r="AC62" i="22"/>
  <c r="AB62" i="22"/>
  <c r="AA62" i="22"/>
  <c r="Z62" i="22"/>
  <c r="Y62" i="22"/>
  <c r="X62" i="22"/>
  <c r="W62" i="22"/>
  <c r="T62" i="22"/>
  <c r="S62" i="22"/>
  <c r="R62" i="22"/>
  <c r="Q62" i="22"/>
  <c r="O62" i="22"/>
  <c r="N62" i="22"/>
  <c r="M62" i="22"/>
  <c r="L62" i="22"/>
  <c r="K62" i="22"/>
  <c r="J62" i="22"/>
  <c r="I62" i="22"/>
  <c r="H62" i="22"/>
  <c r="G62" i="22"/>
  <c r="F62" i="22"/>
  <c r="E62" i="22"/>
  <c r="D62" i="22"/>
  <c r="C62" i="22"/>
  <c r="AT61" i="22"/>
  <c r="AQ61" i="22"/>
  <c r="AE61" i="22"/>
  <c r="U61" i="22"/>
  <c r="V61" i="22" s="1"/>
  <c r="P61" i="22"/>
  <c r="AT60" i="22"/>
  <c r="AQ60" i="22"/>
  <c r="AQ62" i="22" s="1"/>
  <c r="AE60" i="22"/>
  <c r="AE62" i="22" s="1"/>
  <c r="U60" i="22"/>
  <c r="P60" i="22"/>
  <c r="AE56" i="22"/>
  <c r="U56" i="22"/>
  <c r="D56" i="22"/>
  <c r="C56" i="22"/>
  <c r="AR56" i="22" s="1"/>
  <c r="AT55" i="22"/>
  <c r="AR55" i="22"/>
  <c r="AE55" i="22"/>
  <c r="AE54" i="22" s="1"/>
  <c r="U55" i="22"/>
  <c r="U54" i="22" s="1"/>
  <c r="D55" i="22"/>
  <c r="C55" i="22"/>
  <c r="AS54" i="22"/>
  <c r="AP54" i="22"/>
  <c r="AD54" i="22"/>
  <c r="AC54" i="22"/>
  <c r="AB54" i="22"/>
  <c r="AA54" i="22"/>
  <c r="X54" i="22"/>
  <c r="T54" i="22"/>
  <c r="S54" i="22"/>
  <c r="R54" i="22"/>
  <c r="Q54" i="22"/>
  <c r="O54" i="22"/>
  <c r="I54" i="22"/>
  <c r="G54" i="22"/>
  <c r="F54" i="22"/>
  <c r="AT52" i="22"/>
  <c r="AT51" i="22" s="1"/>
  <c r="AR52" i="22"/>
  <c r="AE52" i="22"/>
  <c r="U52" i="22"/>
  <c r="U51" i="22" s="1"/>
  <c r="K52" i="22"/>
  <c r="D52" i="22"/>
  <c r="Y52" i="22" s="1"/>
  <c r="Y51" i="22" s="1"/>
  <c r="AS51" i="22"/>
  <c r="AR51" i="22"/>
  <c r="AP51" i="22"/>
  <c r="AE51" i="22"/>
  <c r="AD51" i="22"/>
  <c r="AC51" i="22"/>
  <c r="AB51" i="22"/>
  <c r="AA51" i="22"/>
  <c r="X51" i="22"/>
  <c r="T51" i="22"/>
  <c r="S51" i="22"/>
  <c r="R51" i="22"/>
  <c r="Q51" i="22"/>
  <c r="O51" i="22"/>
  <c r="L51" i="22"/>
  <c r="I51" i="22"/>
  <c r="H51" i="22"/>
  <c r="G51" i="22"/>
  <c r="F51" i="22"/>
  <c r="D51" i="22"/>
  <c r="C51" i="22"/>
  <c r="AR50" i="22"/>
  <c r="AT50" i="22" s="1"/>
  <c r="AE50" i="22"/>
  <c r="U50" i="22"/>
  <c r="D50" i="22"/>
  <c r="Y50" i="22" s="1"/>
  <c r="AT49" i="22"/>
  <c r="AR49" i="22"/>
  <c r="AE49" i="22"/>
  <c r="U49" i="22"/>
  <c r="K49" i="22"/>
  <c r="E49" i="22"/>
  <c r="D49" i="22"/>
  <c r="Y49" i="22" s="1"/>
  <c r="AR48" i="22"/>
  <c r="AT48" i="22" s="1"/>
  <c r="AE48" i="22"/>
  <c r="U48" i="22"/>
  <c r="D48" i="22"/>
  <c r="E48" i="22" s="1"/>
  <c r="AR47" i="22"/>
  <c r="AT47" i="22" s="1"/>
  <c r="AE47" i="22"/>
  <c r="U47" i="22"/>
  <c r="D47" i="22"/>
  <c r="Y47" i="22" s="1"/>
  <c r="AE46" i="22"/>
  <c r="U46" i="22"/>
  <c r="D46" i="22"/>
  <c r="C46" i="22"/>
  <c r="AR46" i="22" s="1"/>
  <c r="AT46" i="22" s="1"/>
  <c r="AE45" i="22"/>
  <c r="U45" i="22"/>
  <c r="D45" i="22"/>
  <c r="Y45" i="22" s="1"/>
  <c r="C45" i="22"/>
  <c r="AR45" i="22" s="1"/>
  <c r="AT45" i="22" s="1"/>
  <c r="AR44" i="22"/>
  <c r="AT44" i="22" s="1"/>
  <c r="AE44" i="22"/>
  <c r="U44" i="22"/>
  <c r="D44" i="22"/>
  <c r="AR43" i="22"/>
  <c r="AT43" i="22" s="1"/>
  <c r="AE43" i="22"/>
  <c r="U43" i="22"/>
  <c r="D43" i="22"/>
  <c r="E43" i="22" s="1"/>
  <c r="AR42" i="22"/>
  <c r="AT42" i="22" s="1"/>
  <c r="AE42" i="22"/>
  <c r="U42" i="22"/>
  <c r="D42" i="22"/>
  <c r="E42" i="22" s="1"/>
  <c r="AR41" i="22"/>
  <c r="AT41" i="22" s="1"/>
  <c r="AE41" i="22"/>
  <c r="U41" i="22"/>
  <c r="D41" i="22"/>
  <c r="Y41" i="22" s="1"/>
  <c r="AE40" i="22"/>
  <c r="U40" i="22"/>
  <c r="D40" i="22"/>
  <c r="C40" i="22"/>
  <c r="AR40" i="22" s="1"/>
  <c r="AT40" i="22" s="1"/>
  <c r="AE39" i="22"/>
  <c r="U39" i="22"/>
  <c r="D39" i="22"/>
  <c r="Y39" i="22" s="1"/>
  <c r="C39" i="22"/>
  <c r="AR39" i="22" s="1"/>
  <c r="AT39" i="22" s="1"/>
  <c r="AE38" i="22"/>
  <c r="U38" i="22"/>
  <c r="D38" i="22"/>
  <c r="C38" i="22"/>
  <c r="AR37" i="22"/>
  <c r="AT37" i="22" s="1"/>
  <c r="AE37" i="22"/>
  <c r="X37" i="22"/>
  <c r="X36" i="22" s="1"/>
  <c r="U37" i="22"/>
  <c r="D37" i="22"/>
  <c r="AS36" i="22"/>
  <c r="AP36" i="22"/>
  <c r="AD36" i="22"/>
  <c r="AC36" i="22"/>
  <c r="AB36" i="22"/>
  <c r="AA36" i="22"/>
  <c r="T36" i="22"/>
  <c r="S36" i="22"/>
  <c r="R36" i="22"/>
  <c r="Q36" i="22"/>
  <c r="O36" i="22"/>
  <c r="L36" i="22"/>
  <c r="I36" i="22"/>
  <c r="H36" i="22"/>
  <c r="G36" i="22"/>
  <c r="F36" i="22"/>
  <c r="C36" i="22"/>
  <c r="AR35" i="22"/>
  <c r="AT35" i="22" s="1"/>
  <c r="AQ35" i="22"/>
  <c r="AE35" i="22"/>
  <c r="Z35" i="22"/>
  <c r="AF35" i="22" s="1"/>
  <c r="U35" i="22"/>
  <c r="E35" i="22"/>
  <c r="P35" i="22" s="1"/>
  <c r="AR34" i="22"/>
  <c r="AQ34" i="22"/>
  <c r="AE34" i="22"/>
  <c r="Z34" i="22"/>
  <c r="U34" i="22"/>
  <c r="E34" i="22"/>
  <c r="P34" i="22" s="1"/>
  <c r="AR33" i="22"/>
  <c r="AT33" i="22" s="1"/>
  <c r="AQ33" i="22"/>
  <c r="AE33" i="22"/>
  <c r="Z33" i="22"/>
  <c r="AF33" i="22" s="1"/>
  <c r="U33" i="22"/>
  <c r="E33" i="22"/>
  <c r="P33" i="22" s="1"/>
  <c r="AR32" i="22"/>
  <c r="AT32" i="22" s="1"/>
  <c r="AQ32" i="22"/>
  <c r="AE32" i="22"/>
  <c r="Z32" i="22"/>
  <c r="U32" i="22"/>
  <c r="E32" i="22"/>
  <c r="P32" i="22" s="1"/>
  <c r="V32" i="22" s="1"/>
  <c r="AR31" i="22"/>
  <c r="AT31" i="22" s="1"/>
  <c r="AQ31" i="22"/>
  <c r="AE31" i="22"/>
  <c r="Z31" i="22"/>
  <c r="AF31" i="22" s="1"/>
  <c r="U31" i="22"/>
  <c r="E31" i="22"/>
  <c r="P31" i="22" s="1"/>
  <c r="AR30" i="22"/>
  <c r="AT30" i="22" s="1"/>
  <c r="AQ30" i="22"/>
  <c r="AE30" i="22"/>
  <c r="Z30" i="22"/>
  <c r="U30" i="22"/>
  <c r="E30" i="22"/>
  <c r="P30" i="22" s="1"/>
  <c r="V30" i="22" s="1"/>
  <c r="AR29" i="22"/>
  <c r="AT29" i="22" s="1"/>
  <c r="AQ29" i="22"/>
  <c r="AE29" i="22"/>
  <c r="Z29" i="22"/>
  <c r="U29" i="22"/>
  <c r="E29" i="22"/>
  <c r="P29" i="22" s="1"/>
  <c r="AS28" i="22"/>
  <c r="AP28" i="22"/>
  <c r="AO28" i="22"/>
  <c r="AN28" i="22"/>
  <c r="AM28" i="22"/>
  <c r="AL28" i="22"/>
  <c r="AK28" i="22"/>
  <c r="AJ28" i="22"/>
  <c r="AI28" i="22"/>
  <c r="AH28" i="22"/>
  <c r="AG28" i="22"/>
  <c r="AD28" i="22"/>
  <c r="AC28" i="22"/>
  <c r="AB28" i="22"/>
  <c r="AA28" i="22"/>
  <c r="Y28" i="22"/>
  <c r="X28" i="22"/>
  <c r="W28" i="22"/>
  <c r="T28" i="22"/>
  <c r="S28" i="22"/>
  <c r="R28" i="22"/>
  <c r="Q28" i="22"/>
  <c r="O28" i="22"/>
  <c r="N28" i="22"/>
  <c r="M28" i="22"/>
  <c r="L28" i="22"/>
  <c r="K28" i="22"/>
  <c r="J28" i="22"/>
  <c r="I28" i="22"/>
  <c r="H28" i="22"/>
  <c r="G28" i="22"/>
  <c r="F28" i="22"/>
  <c r="D28" i="22"/>
  <c r="C28" i="22"/>
  <c r="AR28" i="22" s="1"/>
  <c r="AR27" i="22"/>
  <c r="AT27" i="22" s="1"/>
  <c r="AA27" i="22"/>
  <c r="AE27" i="22" s="1"/>
  <c r="U27" i="22"/>
  <c r="D27" i="22"/>
  <c r="K27" i="22" s="1"/>
  <c r="J27" i="22" s="1"/>
  <c r="N27" i="22" s="1"/>
  <c r="AE26" i="22"/>
  <c r="U26" i="22"/>
  <c r="D26" i="22"/>
  <c r="Y26" i="22" s="1"/>
  <c r="C26" i="22"/>
  <c r="U25" i="22"/>
  <c r="D25" i="22"/>
  <c r="C25" i="22"/>
  <c r="AT24" i="22"/>
  <c r="AR24" i="22"/>
  <c r="AA24" i="22"/>
  <c r="AE24" i="22" s="1"/>
  <c r="U24" i="22"/>
  <c r="E24" i="22"/>
  <c r="D24" i="22"/>
  <c r="Y24" i="22" s="1"/>
  <c r="AR23" i="22"/>
  <c r="AT23" i="22" s="1"/>
  <c r="AE23" i="22"/>
  <c r="AA23" i="22"/>
  <c r="U23" i="22"/>
  <c r="D23" i="22"/>
  <c r="G23" i="22" s="1"/>
  <c r="AR22" i="22"/>
  <c r="AT22" i="22" s="1"/>
  <c r="AE22" i="22"/>
  <c r="U22" i="22"/>
  <c r="D22" i="22"/>
  <c r="K22" i="22" s="1"/>
  <c r="U21" i="22"/>
  <c r="D21" i="22"/>
  <c r="C21" i="22"/>
  <c r="AR21" i="22" s="1"/>
  <c r="AT21" i="22" s="1"/>
  <c r="AE20" i="22"/>
  <c r="U20" i="22"/>
  <c r="D20" i="22"/>
  <c r="G20" i="22" s="1"/>
  <c r="C20" i="22"/>
  <c r="AR20" i="22" s="1"/>
  <c r="AT20" i="22" s="1"/>
  <c r="AE19" i="22"/>
  <c r="X19" i="22"/>
  <c r="U19" i="22"/>
  <c r="D19" i="22"/>
  <c r="G19" i="22" s="1"/>
  <c r="C19" i="22"/>
  <c r="AR19" i="22" s="1"/>
  <c r="AT19" i="22" s="1"/>
  <c r="AS18" i="22"/>
  <c r="AP18" i="22"/>
  <c r="AD18" i="22"/>
  <c r="AC18" i="22"/>
  <c r="AB18" i="22"/>
  <c r="X18" i="22"/>
  <c r="T18" i="22"/>
  <c r="S18" i="22"/>
  <c r="R18" i="22"/>
  <c r="Q18" i="22"/>
  <c r="O18" i="22"/>
  <c r="L18" i="22"/>
  <c r="I18" i="22"/>
  <c r="H18" i="22"/>
  <c r="F18" i="22"/>
  <c r="AR17" i="22"/>
  <c r="AT17" i="22" s="1"/>
  <c r="AE17" i="22"/>
  <c r="U17" i="22"/>
  <c r="D17" i="22"/>
  <c r="Y17" i="22" s="1"/>
  <c r="X16" i="22"/>
  <c r="U16" i="22"/>
  <c r="U15" i="22" s="1"/>
  <c r="D16" i="22"/>
  <c r="AB16" i="22" s="1"/>
  <c r="AB15" i="22" s="1"/>
  <c r="C16" i="22"/>
  <c r="F16" i="22" s="1"/>
  <c r="F15" i="22" s="1"/>
  <c r="AS15" i="22"/>
  <c r="AP15" i="22"/>
  <c r="AD15" i="22"/>
  <c r="AC15" i="22"/>
  <c r="AA15" i="22"/>
  <c r="X15" i="22"/>
  <c r="T15" i="22"/>
  <c r="S15" i="22"/>
  <c r="R15" i="22"/>
  <c r="Q15" i="22"/>
  <c r="O15" i="22"/>
  <c r="L15" i="22"/>
  <c r="I15" i="22"/>
  <c r="H15" i="22"/>
  <c r="B5" i="22"/>
  <c r="U18" i="22" l="1"/>
  <c r="E39" i="22"/>
  <c r="K41" i="22"/>
  <c r="J41" i="22" s="1"/>
  <c r="E45" i="22"/>
  <c r="K47" i="22"/>
  <c r="J47" i="22" s="1"/>
  <c r="Y56" i="22"/>
  <c r="O58" i="22"/>
  <c r="AQ28" i="22"/>
  <c r="AE36" i="22"/>
  <c r="E56" i="22"/>
  <c r="AT62" i="22"/>
  <c r="Q58" i="22"/>
  <c r="AD58" i="22"/>
  <c r="AD63" i="22" s="1"/>
  <c r="AB58" i="22"/>
  <c r="AB63" i="22" s="1"/>
  <c r="C18" i="22"/>
  <c r="U28" i="22"/>
  <c r="AE28" i="22"/>
  <c r="L56" i="22"/>
  <c r="L54" i="22" s="1"/>
  <c r="U62" i="22"/>
  <c r="I58" i="22"/>
  <c r="I63" i="22" s="1"/>
  <c r="R58" i="22"/>
  <c r="R63" i="22" s="1"/>
  <c r="AP58" i="22"/>
  <c r="AP63" i="22" s="1"/>
  <c r="D18" i="22"/>
  <c r="E27" i="22"/>
  <c r="P27" i="22" s="1"/>
  <c r="V27" i="22" s="1"/>
  <c r="Y27" i="22"/>
  <c r="AU32" i="22"/>
  <c r="Y42" i="22"/>
  <c r="Y48" i="22"/>
  <c r="S58" i="22"/>
  <c r="S63" i="22" s="1"/>
  <c r="AS58" i="22"/>
  <c r="AS63" i="22" s="1"/>
  <c r="G27" i="22"/>
  <c r="O63" i="22"/>
  <c r="AC58" i="22"/>
  <c r="AC63" i="22" s="1"/>
  <c r="F58" i="22"/>
  <c r="F63" i="22" s="1"/>
  <c r="AA21" i="22"/>
  <c r="AE21" i="22" s="1"/>
  <c r="M27" i="22"/>
  <c r="AF30" i="22"/>
  <c r="AU30" i="22" s="1"/>
  <c r="V31" i="22"/>
  <c r="AU31" i="22" s="1"/>
  <c r="AF32" i="22"/>
  <c r="V33" i="22"/>
  <c r="AU33" i="22" s="1"/>
  <c r="V35" i="22"/>
  <c r="AU35" i="22" s="1"/>
  <c r="U36" i="22"/>
  <c r="E52" i="22"/>
  <c r="AE16" i="22"/>
  <c r="AE15" i="22" s="1"/>
  <c r="AR16" i="22"/>
  <c r="E17" i="22"/>
  <c r="Y20" i="22"/>
  <c r="Y21" i="22"/>
  <c r="G22" i="22"/>
  <c r="AR26" i="22"/>
  <c r="AT26" i="22" s="1"/>
  <c r="E26" i="22"/>
  <c r="AT34" i="22"/>
  <c r="AT28" i="22" s="1"/>
  <c r="K40" i="22"/>
  <c r="J40" i="22" s="1"/>
  <c r="Y40" i="22"/>
  <c r="E40" i="22"/>
  <c r="AF29" i="22"/>
  <c r="AF28" i="22" s="1"/>
  <c r="Z28" i="22"/>
  <c r="AR38" i="22"/>
  <c r="E38" i="22"/>
  <c r="E16" i="22"/>
  <c r="K16" i="22"/>
  <c r="J16" i="22" s="1"/>
  <c r="Y16" i="22"/>
  <c r="Y15" i="22" s="1"/>
  <c r="G17" i="22"/>
  <c r="K19" i="22"/>
  <c r="Y19" i="22"/>
  <c r="K20" i="22"/>
  <c r="AR25" i="22"/>
  <c r="AA25" i="22"/>
  <c r="E25" i="22"/>
  <c r="E28" i="22"/>
  <c r="V29" i="22"/>
  <c r="P28" i="22"/>
  <c r="AF34" i="22"/>
  <c r="K38" i="22"/>
  <c r="Q63" i="22"/>
  <c r="U63" i="22" s="1"/>
  <c r="G16" i="22"/>
  <c r="G15" i="22" s="1"/>
  <c r="K17" i="22"/>
  <c r="Y22" i="22"/>
  <c r="J22" i="22"/>
  <c r="W22" i="22" s="1"/>
  <c r="E22" i="22"/>
  <c r="V34" i="22"/>
  <c r="AU34" i="22" s="1"/>
  <c r="C15" i="22"/>
  <c r="D15" i="22"/>
  <c r="L58" i="22"/>
  <c r="L63" i="22" s="1"/>
  <c r="T58" i="22"/>
  <c r="T63" i="22" s="1"/>
  <c r="X58" i="22"/>
  <c r="X63" i="22" s="1"/>
  <c r="E19" i="22"/>
  <c r="E20" i="22"/>
  <c r="E21" i="22"/>
  <c r="Y25" i="22"/>
  <c r="K21" i="22"/>
  <c r="J21" i="22" s="1"/>
  <c r="N21" i="22" s="1"/>
  <c r="Y23" i="22"/>
  <c r="K24" i="22"/>
  <c r="J24" i="22" s="1"/>
  <c r="K25" i="22"/>
  <c r="J25" i="22" s="1"/>
  <c r="N25" i="22" s="1"/>
  <c r="K26" i="22"/>
  <c r="J26" i="22" s="1"/>
  <c r="N26" i="22" s="1"/>
  <c r="W27" i="22"/>
  <c r="Z27" i="22" s="1"/>
  <c r="AF27" i="22" s="1"/>
  <c r="D36" i="22"/>
  <c r="K37" i="22"/>
  <c r="Y37" i="22"/>
  <c r="Y38" i="22"/>
  <c r="W41" i="22"/>
  <c r="Z41" i="22" s="1"/>
  <c r="AF41" i="22" s="1"/>
  <c r="V60" i="22"/>
  <c r="V62" i="22" s="1"/>
  <c r="AU62" i="22" s="1"/>
  <c r="P62" i="22"/>
  <c r="K23" i="22"/>
  <c r="K46" i="22"/>
  <c r="J46" i="22" s="1"/>
  <c r="Y46" i="22"/>
  <c r="E46" i="22"/>
  <c r="D54" i="22"/>
  <c r="E55" i="22"/>
  <c r="C54" i="22"/>
  <c r="K55" i="22"/>
  <c r="G21" i="22"/>
  <c r="E23" i="22"/>
  <c r="G24" i="22"/>
  <c r="G25" i="22"/>
  <c r="G26" i="22"/>
  <c r="E37" i="22"/>
  <c r="K44" i="22"/>
  <c r="J44" i="22" s="1"/>
  <c r="Y44" i="22"/>
  <c r="E44" i="22"/>
  <c r="W47" i="22"/>
  <c r="Z47" i="22" s="1"/>
  <c r="AF47" i="22" s="1"/>
  <c r="K39" i="22"/>
  <c r="K42" i="22"/>
  <c r="J43" i="22"/>
  <c r="N43" i="22" s="1"/>
  <c r="Y43" i="22"/>
  <c r="K45" i="22"/>
  <c r="K48" i="22"/>
  <c r="Y55" i="22"/>
  <c r="Y54" i="22" s="1"/>
  <c r="AR54" i="22"/>
  <c r="AT56" i="22"/>
  <c r="AT54" i="22" s="1"/>
  <c r="E41" i="22"/>
  <c r="N41" i="22"/>
  <c r="M41" i="22" s="1"/>
  <c r="K43" i="22"/>
  <c r="E47" i="22"/>
  <c r="N47" i="22"/>
  <c r="M47" i="22" s="1"/>
  <c r="K51" i="22"/>
  <c r="K50" i="22"/>
  <c r="J50" i="22" s="1"/>
  <c r="E51" i="22"/>
  <c r="H56" i="22"/>
  <c r="J49" i="22"/>
  <c r="E50" i="22"/>
  <c r="J52" i="22"/>
  <c r="K56" i="22"/>
  <c r="G18" i="22" l="1"/>
  <c r="N50" i="22"/>
  <c r="M50" i="22" s="1"/>
  <c r="C58" i="22"/>
  <c r="C63" i="22" s="1"/>
  <c r="K54" i="22"/>
  <c r="AM27" i="22"/>
  <c r="W50" i="22"/>
  <c r="Z50" i="22" s="1"/>
  <c r="AF50" i="22" s="1"/>
  <c r="J17" i="22"/>
  <c r="N17" i="22" s="1"/>
  <c r="M17" i="22" s="1"/>
  <c r="D58" i="22"/>
  <c r="D63" i="22" s="1"/>
  <c r="Z22" i="22"/>
  <c r="AF22" i="22" s="1"/>
  <c r="AG27" i="22"/>
  <c r="N44" i="22"/>
  <c r="N46" i="22"/>
  <c r="M46" i="22" s="1"/>
  <c r="N40" i="22"/>
  <c r="AO47" i="22"/>
  <c r="AK47" i="22"/>
  <c r="AG47" i="22"/>
  <c r="P47" i="22"/>
  <c r="V47" i="22" s="1"/>
  <c r="AN47" i="22"/>
  <c r="AJ47" i="22"/>
  <c r="AM47" i="22"/>
  <c r="AI47" i="22"/>
  <c r="AL47" i="22"/>
  <c r="AH47" i="22"/>
  <c r="M25" i="22"/>
  <c r="N49" i="22"/>
  <c r="W49" i="22"/>
  <c r="H54" i="22"/>
  <c r="H58" i="22" s="1"/>
  <c r="H63" i="22" s="1"/>
  <c r="J56" i="22"/>
  <c r="W44" i="22"/>
  <c r="Z44" i="22" s="1"/>
  <c r="AF44" i="22" s="1"/>
  <c r="M43" i="22"/>
  <c r="E36" i="22"/>
  <c r="W46" i="22"/>
  <c r="Z46" i="22" s="1"/>
  <c r="AF46" i="22" s="1"/>
  <c r="AK22" i="22"/>
  <c r="AG22" i="22"/>
  <c r="AH22" i="22"/>
  <c r="AK27" i="22"/>
  <c r="AE25" i="22"/>
  <c r="AE18" i="22" s="1"/>
  <c r="AA18" i="22"/>
  <c r="AA58" i="22" s="1"/>
  <c r="W21" i="22"/>
  <c r="Z21" i="22" s="1"/>
  <c r="AF21" i="22" s="1"/>
  <c r="K15" i="22"/>
  <c r="W16" i="22"/>
  <c r="AH27" i="22"/>
  <c r="J37" i="22"/>
  <c r="K36" i="22"/>
  <c r="G58" i="22"/>
  <c r="G63" i="22" s="1"/>
  <c r="AU29" i="22"/>
  <c r="V28" i="22"/>
  <c r="P25" i="22"/>
  <c r="V25" i="22" s="1"/>
  <c r="J55" i="22"/>
  <c r="W55" i="22" s="1"/>
  <c r="N52" i="22"/>
  <c r="J51" i="22"/>
  <c r="W52" i="22"/>
  <c r="AO52" i="22" s="1"/>
  <c r="AO51" i="22" s="1"/>
  <c r="W39" i="22"/>
  <c r="AK39" i="22" s="1"/>
  <c r="J39" i="22"/>
  <c r="E54" i="22"/>
  <c r="AO49" i="22"/>
  <c r="W23" i="22"/>
  <c r="Z23" i="22" s="1"/>
  <c r="AF23" i="22" s="1"/>
  <c r="J23" i="22"/>
  <c r="W25" i="22"/>
  <c r="Z25" i="22" s="1"/>
  <c r="AF25" i="22" s="1"/>
  <c r="E18" i="22"/>
  <c r="W37" i="22"/>
  <c r="AL27" i="22"/>
  <c r="AJ27" i="22"/>
  <c r="AO27" i="22"/>
  <c r="AT25" i="22"/>
  <c r="AT18" i="22" s="1"/>
  <c r="AR18" i="22"/>
  <c r="AK16" i="22"/>
  <c r="AG16" i="22"/>
  <c r="AH16" i="22"/>
  <c r="E15" i="22"/>
  <c r="AT38" i="22"/>
  <c r="AT36" i="22" s="1"/>
  <c r="AR36" i="22"/>
  <c r="W40" i="22"/>
  <c r="Z40" i="22" s="1"/>
  <c r="AF40" i="22" s="1"/>
  <c r="W24" i="22"/>
  <c r="Z24" i="22" s="1"/>
  <c r="AF24" i="22" s="1"/>
  <c r="J20" i="22"/>
  <c r="W20" i="22" s="1"/>
  <c r="Z20" i="22" s="1"/>
  <c r="AF20" i="22" s="1"/>
  <c r="AR15" i="22"/>
  <c r="AR58" i="22" s="1"/>
  <c r="AT16" i="22"/>
  <c r="AT15" i="22" s="1"/>
  <c r="AH50" i="22"/>
  <c r="AG50" i="22"/>
  <c r="AK50" i="22"/>
  <c r="J42" i="22"/>
  <c r="W42" i="22" s="1"/>
  <c r="K18" i="22"/>
  <c r="W43" i="22"/>
  <c r="AN43" i="22" s="1"/>
  <c r="AO41" i="22"/>
  <c r="AK41" i="22"/>
  <c r="AG41" i="22"/>
  <c r="P41" i="22"/>
  <c r="V41" i="22" s="1"/>
  <c r="AN41" i="22"/>
  <c r="AJ41" i="22"/>
  <c r="AM41" i="22"/>
  <c r="AI41" i="22"/>
  <c r="AH41" i="22"/>
  <c r="AL41" i="22"/>
  <c r="J48" i="22"/>
  <c r="W45" i="22"/>
  <c r="Z45" i="22" s="1"/>
  <c r="AF45" i="22" s="1"/>
  <c r="J45" i="22"/>
  <c r="AH44" i="22"/>
  <c r="J38" i="22"/>
  <c r="N24" i="22"/>
  <c r="AN24" i="22" s="1"/>
  <c r="AL46" i="22"/>
  <c r="AH46" i="22"/>
  <c r="AO46" i="22"/>
  <c r="AK46" i="22"/>
  <c r="AG46" i="22"/>
  <c r="AN46" i="22"/>
  <c r="AJ46" i="22"/>
  <c r="AM46" i="22"/>
  <c r="Y36" i="22"/>
  <c r="M26" i="22"/>
  <c r="P26" i="22" s="1"/>
  <c r="V26" i="22" s="1"/>
  <c r="AG24" i="22"/>
  <c r="M21" i="22"/>
  <c r="AI21" i="22" s="1"/>
  <c r="N22" i="22"/>
  <c r="M22" i="22" s="1"/>
  <c r="N16" i="22"/>
  <c r="AL16" i="22" s="1"/>
  <c r="U58" i="22"/>
  <c r="AI27" i="22"/>
  <c r="AN27" i="22"/>
  <c r="W26" i="22"/>
  <c r="Z26" i="22" s="1"/>
  <c r="AF26" i="22" s="1"/>
  <c r="Y18" i="22"/>
  <c r="Y58" i="22" s="1"/>
  <c r="Y63" i="22" s="1"/>
  <c r="P43" i="22"/>
  <c r="V43" i="22" s="1"/>
  <c r="J19" i="22"/>
  <c r="W19" i="22" s="1"/>
  <c r="AH19" i="22" s="1"/>
  <c r="M16" i="22"/>
  <c r="AI43" i="22" l="1"/>
  <c r="M15" i="22"/>
  <c r="N15" i="22"/>
  <c r="P17" i="22"/>
  <c r="V17" i="22" s="1"/>
  <c r="W17" i="22"/>
  <c r="AI50" i="22"/>
  <c r="P50" i="22"/>
  <c r="V50" i="22" s="1"/>
  <c r="Z42" i="22"/>
  <c r="AF42" i="22" s="1"/>
  <c r="AH42" i="22"/>
  <c r="AH40" i="22"/>
  <c r="AM50" i="22"/>
  <c r="AM43" i="22"/>
  <c r="E58" i="22"/>
  <c r="E63" i="22" s="1"/>
  <c r="AN52" i="22"/>
  <c r="AN51" i="22" s="1"/>
  <c r="AM49" i="22"/>
  <c r="AO40" i="22"/>
  <c r="AJ44" i="22"/>
  <c r="AH43" i="22"/>
  <c r="AG44" i="22"/>
  <c r="AJ50" i="22"/>
  <c r="AM22" i="22"/>
  <c r="N56" i="22"/>
  <c r="M56" i="22" s="1"/>
  <c r="AG26" i="22"/>
  <c r="AL44" i="22"/>
  <c r="J15" i="22"/>
  <c r="AQ27" i="22"/>
  <c r="AU27" i="22" s="1"/>
  <c r="AK44" i="22"/>
  <c r="AO50" i="22"/>
  <c r="AL50" i="22"/>
  <c r="AN50" i="22"/>
  <c r="AL52" i="22"/>
  <c r="AL51" i="22" s="1"/>
  <c r="AI26" i="22"/>
  <c r="P46" i="22"/>
  <c r="V46" i="22" s="1"/>
  <c r="AI46" i="22"/>
  <c r="AQ46" i="22" s="1"/>
  <c r="P22" i="22"/>
  <c r="V22" i="22" s="1"/>
  <c r="AI22" i="22"/>
  <c r="Z37" i="22"/>
  <c r="AH25" i="22"/>
  <c r="P21" i="22"/>
  <c r="V21" i="22" s="1"/>
  <c r="AG21" i="22"/>
  <c r="AM21" i="22"/>
  <c r="N19" i="22"/>
  <c r="M19" i="22" s="1"/>
  <c r="J18" i="22"/>
  <c r="AM24" i="22"/>
  <c r="N38" i="22"/>
  <c r="AM38" i="22" s="1"/>
  <c r="AN44" i="22"/>
  <c r="AO44" i="22"/>
  <c r="AG45" i="22"/>
  <c r="N48" i="22"/>
  <c r="AM48" i="22" s="1"/>
  <c r="W48" i="22"/>
  <c r="AG42" i="22"/>
  <c r="N20" i="22"/>
  <c r="M20" i="22" s="1"/>
  <c r="AO43" i="22"/>
  <c r="P16" i="22"/>
  <c r="AJ16" i="22"/>
  <c r="N23" i="22"/>
  <c r="M23" i="22" s="1"/>
  <c r="W51" i="22"/>
  <c r="Z52" i="22"/>
  <c r="AK52" i="22"/>
  <c r="AK51" i="22" s="1"/>
  <c r="AG52" i="22"/>
  <c r="AH52" i="22"/>
  <c r="AH51" i="22" s="1"/>
  <c r="AG25" i="22"/>
  <c r="AL25" i="22"/>
  <c r="AU28" i="22"/>
  <c r="J36" i="22"/>
  <c r="N37" i="22"/>
  <c r="AJ37" i="22" s="1"/>
  <c r="AJ43" i="22"/>
  <c r="AE58" i="22"/>
  <c r="AA63" i="22"/>
  <c r="AE63" i="22" s="1"/>
  <c r="AL22" i="22"/>
  <c r="AJ22" i="22"/>
  <c r="AK20" i="22"/>
  <c r="AN23" i="22"/>
  <c r="AH23" i="22"/>
  <c r="W56" i="22"/>
  <c r="AJ56" i="22" s="1"/>
  <c r="AO26" i="22"/>
  <c r="AM26" i="22"/>
  <c r="AM40" i="22"/>
  <c r="AG40" i="22"/>
  <c r="AL40" i="22"/>
  <c r="AL21" i="22"/>
  <c r="AK21" i="22"/>
  <c r="AH45" i="22"/>
  <c r="M40" i="22"/>
  <c r="M44" i="22"/>
  <c r="AQ41" i="22"/>
  <c r="Z55" i="22"/>
  <c r="AK55" i="22"/>
  <c r="J54" i="22"/>
  <c r="N55" i="22"/>
  <c r="AN49" i="22"/>
  <c r="M49" i="22"/>
  <c r="AK45" i="22"/>
  <c r="AK42" i="22"/>
  <c r="AI16" i="22"/>
  <c r="AN16" i="22"/>
  <c r="AH39" i="22"/>
  <c r="AG19" i="22"/>
  <c r="AK24" i="22"/>
  <c r="AJ49" i="22"/>
  <c r="AK25" i="22"/>
  <c r="AI25" i="22"/>
  <c r="W38" i="22"/>
  <c r="AJ24" i="22"/>
  <c r="Z16" i="22"/>
  <c r="AN22" i="22"/>
  <c r="AO22" i="22"/>
  <c r="AH24" i="22"/>
  <c r="AM23" i="22"/>
  <c r="AG23" i="22"/>
  <c r="AG37" i="22"/>
  <c r="AH37" i="22"/>
  <c r="AK26" i="22"/>
  <c r="AH26" i="22"/>
  <c r="AJ26" i="22"/>
  <c r="AJ40" i="22"/>
  <c r="AK40" i="22"/>
  <c r="AH21" i="22"/>
  <c r="AO21" i="22"/>
  <c r="AL24" i="22"/>
  <c r="AQ47" i="22"/>
  <c r="AU47" i="22" s="1"/>
  <c r="AO24" i="22"/>
  <c r="Z19" i="22"/>
  <c r="W18" i="22"/>
  <c r="AR63" i="22"/>
  <c r="AT63" i="22" s="1"/>
  <c r="AT58" i="22"/>
  <c r="AH55" i="22"/>
  <c r="Z39" i="22"/>
  <c r="AF39" i="22" s="1"/>
  <c r="AG39" i="22"/>
  <c r="AN25" i="22"/>
  <c r="AG20" i="22"/>
  <c r="AL49" i="22"/>
  <c r="AM44" i="22"/>
  <c r="N45" i="22"/>
  <c r="AO45" i="22" s="1"/>
  <c r="AU41" i="22"/>
  <c r="Z43" i="22"/>
  <c r="AF43" i="22" s="1"/>
  <c r="AG43" i="22"/>
  <c r="AL43" i="22"/>
  <c r="M24" i="22"/>
  <c r="N42" i="22"/>
  <c r="AO42" i="22" s="1"/>
  <c r="AM16" i="22"/>
  <c r="AO16" i="22"/>
  <c r="AJ19" i="22"/>
  <c r="AK19" i="22"/>
  <c r="AL19" i="22"/>
  <c r="AG55" i="22"/>
  <c r="N39" i="22"/>
  <c r="AL39" i="22" s="1"/>
  <c r="N51" i="22"/>
  <c r="AM52" i="22"/>
  <c r="AM51" i="22" s="1"/>
  <c r="AJ52" i="22"/>
  <c r="AJ51" i="22" s="1"/>
  <c r="M52" i="22"/>
  <c r="AJ25" i="22"/>
  <c r="AO25" i="22"/>
  <c r="AM25" i="22"/>
  <c r="K58" i="22"/>
  <c r="K63" i="22" s="1"/>
  <c r="AH20" i="22"/>
  <c r="AK23" i="22"/>
  <c r="AK37" i="22"/>
  <c r="AN56" i="22"/>
  <c r="AO56" i="22"/>
  <c r="Z49" i="22"/>
  <c r="AF49" i="22" s="1"/>
  <c r="AH49" i="22"/>
  <c r="AK49" i="22"/>
  <c r="AG49" i="22"/>
  <c r="AL26" i="22"/>
  <c r="AN26" i="22"/>
  <c r="AN40" i="22"/>
  <c r="AJ21" i="22"/>
  <c r="AN21" i="22"/>
  <c r="AK43" i="22"/>
  <c r="P23" i="22" l="1"/>
  <c r="V23" i="22" s="1"/>
  <c r="AI23" i="22"/>
  <c r="Z17" i="22"/>
  <c r="AF17" i="22" s="1"/>
  <c r="AG17" i="22"/>
  <c r="AH17" i="22"/>
  <c r="AH15" i="22" s="1"/>
  <c r="AK17" i="22"/>
  <c r="AK15" i="22" s="1"/>
  <c r="AJ17" i="22"/>
  <c r="AJ15" i="22" s="1"/>
  <c r="AI17" i="22"/>
  <c r="AI15" i="22" s="1"/>
  <c r="AN17" i="22"/>
  <c r="AN15" i="22" s="1"/>
  <c r="AL37" i="22"/>
  <c r="M39" i="22"/>
  <c r="P39" i="22" s="1"/>
  <c r="V39" i="22" s="1"/>
  <c r="W15" i="22"/>
  <c r="AM37" i="22"/>
  <c r="AQ50" i="22"/>
  <c r="AU50" i="22" s="1"/>
  <c r="AL17" i="22"/>
  <c r="AL15" i="22" s="1"/>
  <c r="AM17" i="22"/>
  <c r="AM15" i="22" s="1"/>
  <c r="AO39" i="22"/>
  <c r="AL23" i="22"/>
  <c r="AJ20" i="22"/>
  <c r="AN39" i="22"/>
  <c r="M48" i="22"/>
  <c r="AI48" i="22" s="1"/>
  <c r="AO17" i="22"/>
  <c r="AO15" i="22" s="1"/>
  <c r="P56" i="22"/>
  <c r="V56" i="22" s="1"/>
  <c r="AI56" i="22"/>
  <c r="AM45" i="22"/>
  <c r="AN20" i="22"/>
  <c r="M45" i="22"/>
  <c r="AH18" i="22"/>
  <c r="AJ39" i="22"/>
  <c r="AL45" i="22"/>
  <c r="M37" i="22"/>
  <c r="P37" i="22" s="1"/>
  <c r="V37" i="22" s="1"/>
  <c r="AL48" i="22"/>
  <c r="AJ45" i="22"/>
  <c r="AM20" i="22"/>
  <c r="AM39" i="22"/>
  <c r="AM36" i="22" s="1"/>
  <c r="AN45" i="22"/>
  <c r="AQ26" i="22"/>
  <c r="AU26" i="22" s="1"/>
  <c r="AM19" i="22"/>
  <c r="AM18" i="22" s="1"/>
  <c r="AQ22" i="22"/>
  <c r="AU22" i="22" s="1"/>
  <c r="P20" i="22"/>
  <c r="V20" i="22" s="1"/>
  <c r="AI20" i="22"/>
  <c r="AG18" i="22"/>
  <c r="N54" i="22"/>
  <c r="AJ55" i="22"/>
  <c r="AJ54" i="22" s="1"/>
  <c r="AQ25" i="22"/>
  <c r="AU25" i="22" s="1"/>
  <c r="AF52" i="22"/>
  <c r="AF51" i="22" s="1"/>
  <c r="Z51" i="22"/>
  <c r="AN38" i="22"/>
  <c r="M18" i="22"/>
  <c r="AQ21" i="22"/>
  <c r="AU21" i="22" s="1"/>
  <c r="AF37" i="22"/>
  <c r="M51" i="22"/>
  <c r="AI52" i="22"/>
  <c r="AI51" i="22" s="1"/>
  <c r="P52" i="22"/>
  <c r="AK18" i="22"/>
  <c r="M42" i="22"/>
  <c r="AI24" i="22"/>
  <c r="AQ24" i="22" s="1"/>
  <c r="P24" i="22"/>
  <c r="V24" i="22" s="1"/>
  <c r="P19" i="22"/>
  <c r="W54" i="22"/>
  <c r="AL56" i="22"/>
  <c r="AJ23" i="22"/>
  <c r="AJ18" i="22" s="1"/>
  <c r="AO23" i="22"/>
  <c r="AQ16" i="22"/>
  <c r="AN48" i="22"/>
  <c r="AO48" i="22"/>
  <c r="J58" i="22"/>
  <c r="AU46" i="22"/>
  <c r="AM42" i="22"/>
  <c r="AJ42" i="22"/>
  <c r="Z18" i="22"/>
  <c r="AF19" i="22"/>
  <c r="AF18" i="22" s="1"/>
  <c r="Z38" i="22"/>
  <c r="AF38" i="22" s="1"/>
  <c r="AK38" i="22"/>
  <c r="AH38" i="22"/>
  <c r="AG38" i="22"/>
  <c r="AF55" i="22"/>
  <c r="AL42" i="22"/>
  <c r="AO38" i="22"/>
  <c r="AQ43" i="22"/>
  <c r="AU43" i="22" s="1"/>
  <c r="AF16" i="22"/>
  <c r="AF15" i="22" s="1"/>
  <c r="Z56" i="22"/>
  <c r="AF56" i="22" s="1"/>
  <c r="AG56" i="22"/>
  <c r="AG54" i="22" s="1"/>
  <c r="AH56" i="22"/>
  <c r="AH54" i="22" s="1"/>
  <c r="AK56" i="22"/>
  <c r="AK54" i="22" s="1"/>
  <c r="N36" i="22"/>
  <c r="AO37" i="22"/>
  <c r="AN37" i="22"/>
  <c r="AG51" i="22"/>
  <c r="AN55" i="22"/>
  <c r="AN54" i="22" s="1"/>
  <c r="AO20" i="22"/>
  <c r="AL20" i="22"/>
  <c r="AL18" i="22" s="1"/>
  <c r="AJ48" i="22"/>
  <c r="P48" i="22"/>
  <c r="V48" i="22" s="1"/>
  <c r="N18" i="22"/>
  <c r="AO19" i="22"/>
  <c r="AO18" i="22" s="1"/>
  <c r="AN19" i="22"/>
  <c r="AN18" i="22" s="1"/>
  <c r="AL38" i="22"/>
  <c r="P40" i="22"/>
  <c r="V40" i="22" s="1"/>
  <c r="AI40" i="22"/>
  <c r="AQ40" i="22" s="1"/>
  <c r="AM55" i="22"/>
  <c r="AN42" i="22"/>
  <c r="AJ38" i="22"/>
  <c r="P49" i="22"/>
  <c r="V49" i="22" s="1"/>
  <c r="AI49" i="22"/>
  <c r="AQ49" i="22" s="1"/>
  <c r="M55" i="22"/>
  <c r="P44" i="22"/>
  <c r="V44" i="22" s="1"/>
  <c r="AI44" i="22"/>
  <c r="AQ44" i="22" s="1"/>
  <c r="AI37" i="22"/>
  <c r="AQ37" i="22" s="1"/>
  <c r="AL55" i="22"/>
  <c r="AI19" i="22"/>
  <c r="V16" i="22"/>
  <c r="P15" i="22"/>
  <c r="Z48" i="22"/>
  <c r="AF48" i="22" s="1"/>
  <c r="AH48" i="22"/>
  <c r="AK48" i="22"/>
  <c r="AK36" i="22" s="1"/>
  <c r="AG48" i="22"/>
  <c r="M38" i="22"/>
  <c r="W36" i="22"/>
  <c r="W58" i="22" s="1"/>
  <c r="AM56" i="22"/>
  <c r="AO55" i="22"/>
  <c r="AO54" i="22" s="1"/>
  <c r="AQ23" i="22" l="1"/>
  <c r="AU23" i="22" s="1"/>
  <c r="AI39" i="22"/>
  <c r="AQ39" i="22" s="1"/>
  <c r="AU39" i="22" s="1"/>
  <c r="AQ20" i="22"/>
  <c r="M36" i="22"/>
  <c r="Z15" i="22"/>
  <c r="AQ17" i="22"/>
  <c r="AU17" i="22" s="1"/>
  <c r="AG15" i="22"/>
  <c r="AJ36" i="22"/>
  <c r="AQ52" i="22"/>
  <c r="AQ51" i="22" s="1"/>
  <c r="AL54" i="22"/>
  <c r="N58" i="22"/>
  <c r="N63" i="22" s="1"/>
  <c r="AF36" i="22"/>
  <c r="AL36" i="22"/>
  <c r="AL58" i="22" s="1"/>
  <c r="AL63" i="22" s="1"/>
  <c r="AH36" i="22"/>
  <c r="AH58" i="22" s="1"/>
  <c r="AH63" i="22" s="1"/>
  <c r="AI45" i="22"/>
  <c r="AQ45" i="22" s="1"/>
  <c r="P45" i="22"/>
  <c r="V45" i="22" s="1"/>
  <c r="W63" i="22"/>
  <c r="Z63" i="22" s="1"/>
  <c r="AF63" i="22" s="1"/>
  <c r="Z58" i="22"/>
  <c r="AJ58" i="22"/>
  <c r="AJ63" i="22" s="1"/>
  <c r="AU16" i="22"/>
  <c r="V15" i="22"/>
  <c r="AI38" i="22"/>
  <c r="AQ38" i="22" s="1"/>
  <c r="P38" i="22"/>
  <c r="AI18" i="22"/>
  <c r="AU49" i="22"/>
  <c r="AM54" i="22"/>
  <c r="AM58" i="22" s="1"/>
  <c r="AM63" i="22" s="1"/>
  <c r="AN36" i="22"/>
  <c r="AN58" i="22" s="1"/>
  <c r="AN63" i="22" s="1"/>
  <c r="Z54" i="22"/>
  <c r="P42" i="22"/>
  <c r="V42" i="22" s="1"/>
  <c r="AI42" i="22"/>
  <c r="AQ42" i="22" s="1"/>
  <c r="Z36" i="22"/>
  <c r="V52" i="22"/>
  <c r="P51" i="22"/>
  <c r="AQ48" i="22"/>
  <c r="AU48" i="22" s="1"/>
  <c r="AU44" i="22"/>
  <c r="AU40" i="22"/>
  <c r="AO36" i="22"/>
  <c r="AO58" i="22" s="1"/>
  <c r="AO63" i="22" s="1"/>
  <c r="AQ56" i="22"/>
  <c r="AU56" i="22" s="1"/>
  <c r="AF54" i="22"/>
  <c r="V19" i="22"/>
  <c r="P18" i="22"/>
  <c r="M54" i="22"/>
  <c r="M58" i="22" s="1"/>
  <c r="P55" i="22"/>
  <c r="AI55" i="22"/>
  <c r="AU37" i="22"/>
  <c r="AG36" i="22"/>
  <c r="AG58" i="22" s="1"/>
  <c r="J63" i="22"/>
  <c r="AU24" i="22"/>
  <c r="AK58" i="22"/>
  <c r="AK63" i="22" s="1"/>
  <c r="AQ19" i="22"/>
  <c r="AQ18" i="22" s="1"/>
  <c r="AU20" i="22"/>
  <c r="AQ36" i="22" l="1"/>
  <c r="AI36" i="22"/>
  <c r="AQ15" i="22"/>
  <c r="M63" i="22"/>
  <c r="P63" i="22" s="1"/>
  <c r="V63" i="22" s="1"/>
  <c r="P58" i="22"/>
  <c r="AU45" i="22"/>
  <c r="AI54" i="22"/>
  <c r="AI58" i="22" s="1"/>
  <c r="AI63" i="22" s="1"/>
  <c r="AQ55" i="22"/>
  <c r="AQ54" i="22" s="1"/>
  <c r="V58" i="22"/>
  <c r="AU15" i="22"/>
  <c r="P54" i="22"/>
  <c r="V55" i="22"/>
  <c r="AU19" i="22"/>
  <c r="V18" i="22"/>
  <c r="AU42" i="22"/>
  <c r="AF58" i="22"/>
  <c r="AG63" i="22"/>
  <c r="V38" i="22"/>
  <c r="P36" i="22"/>
  <c r="AU52" i="22"/>
  <c r="V51" i="22"/>
  <c r="AQ58" i="22" l="1"/>
  <c r="AQ63" i="22"/>
  <c r="AU63" i="22" s="1"/>
  <c r="AU58" i="22"/>
  <c r="AU18" i="22"/>
  <c r="AU51" i="22"/>
  <c r="AU38" i="22"/>
  <c r="V36" i="22"/>
  <c r="AU55" i="22"/>
  <c r="V54" i="22"/>
  <c r="AU54" i="22" l="1"/>
  <c r="AU36" i="22"/>
  <c r="Q33" i="21" l="1"/>
  <c r="E33" i="21"/>
  <c r="Q31" i="21"/>
  <c r="E31" i="21"/>
  <c r="Q29" i="21"/>
  <c r="E29" i="21"/>
  <c r="Q27" i="21"/>
  <c r="E27" i="21"/>
  <c r="Q25" i="21"/>
  <c r="E25" i="21"/>
  <c r="Q23" i="21"/>
  <c r="E23" i="21"/>
  <c r="Q21" i="21"/>
  <c r="E21" i="21"/>
  <c r="Q19" i="21"/>
  <c r="E19" i="21"/>
  <c r="E17" i="21" s="1"/>
  <c r="Q17" i="21"/>
  <c r="D17" i="21"/>
  <c r="C17" i="21"/>
  <c r="C14" i="21" s="1"/>
  <c r="E14" i="21" s="1"/>
  <c r="F15" i="21"/>
  <c r="Q15" i="21" s="1"/>
  <c r="Q14" i="21" s="1"/>
  <c r="E15" i="21"/>
  <c r="P14" i="21"/>
  <c r="O14" i="21"/>
  <c r="N14" i="21"/>
  <c r="M14" i="21"/>
  <c r="L14" i="21"/>
  <c r="K14" i="21"/>
  <c r="J14" i="21"/>
  <c r="I14" i="21"/>
  <c r="H14" i="21"/>
  <c r="G14" i="21"/>
  <c r="D14" i="21"/>
  <c r="D6" i="21"/>
  <c r="F14" i="21" l="1"/>
  <c r="K35" i="20" l="1"/>
  <c r="H35" i="20"/>
  <c r="K33" i="20"/>
  <c r="H33" i="20"/>
  <c r="I32" i="20"/>
  <c r="I29" i="20" s="1"/>
  <c r="K29" i="20" s="1"/>
  <c r="F32" i="20"/>
  <c r="H32" i="20" s="1"/>
  <c r="K31" i="20"/>
  <c r="H31" i="20"/>
  <c r="K30" i="20"/>
  <c r="H30" i="20"/>
  <c r="F29" i="20"/>
  <c r="H29" i="20" s="1"/>
  <c r="K28" i="20"/>
  <c r="H28" i="20"/>
  <c r="I27" i="20"/>
  <c r="K27" i="20" s="1"/>
  <c r="H27" i="20"/>
  <c r="F27" i="20"/>
  <c r="H26" i="20"/>
  <c r="F26" i="20"/>
  <c r="K25" i="20"/>
  <c r="H25" i="20"/>
  <c r="I24" i="20"/>
  <c r="K24" i="20" s="1"/>
  <c r="F24" i="20"/>
  <c r="H24" i="20" s="1"/>
  <c r="F23" i="20"/>
  <c r="H23" i="20" s="1"/>
  <c r="F22" i="20"/>
  <c r="H22" i="20" s="1"/>
  <c r="N21" i="20"/>
  <c r="K21" i="20"/>
  <c r="H21" i="20"/>
  <c r="K20" i="20"/>
  <c r="H20" i="20"/>
  <c r="I19" i="20"/>
  <c r="K19" i="20" s="1"/>
  <c r="H19" i="20"/>
  <c r="F19" i="20"/>
  <c r="K18" i="20"/>
  <c r="H18" i="20"/>
  <c r="K17" i="20"/>
  <c r="H17" i="20"/>
  <c r="K16" i="20"/>
  <c r="H16" i="20"/>
  <c r="K15" i="20"/>
  <c r="H15" i="20"/>
  <c r="I14" i="20"/>
  <c r="K14" i="20" s="1"/>
  <c r="H14" i="20"/>
  <c r="F14" i="20"/>
  <c r="H13" i="20"/>
  <c r="F13" i="20"/>
  <c r="F34" i="20" s="1"/>
  <c r="H34" i="20" s="1"/>
  <c r="I23" i="20" l="1"/>
  <c r="K23" i="20" s="1"/>
  <c r="K32" i="20"/>
  <c r="I26" i="20"/>
  <c r="I13" i="20"/>
  <c r="K13" i="20" s="1"/>
  <c r="I22" i="20" l="1"/>
  <c r="K22" i="20" s="1"/>
  <c r="K26" i="20"/>
  <c r="G109" i="19"/>
  <c r="D109" i="19"/>
  <c r="M108" i="19"/>
  <c r="K108" i="19"/>
  <c r="N108" i="19" s="1"/>
  <c r="I108" i="19"/>
  <c r="F108" i="19"/>
  <c r="M107" i="19"/>
  <c r="K107" i="19"/>
  <c r="O107" i="19" s="1"/>
  <c r="I107" i="19"/>
  <c r="F107" i="19"/>
  <c r="M106" i="19"/>
  <c r="N106" i="19" s="1"/>
  <c r="K106" i="19"/>
  <c r="O106" i="19" s="1"/>
  <c r="I106" i="19"/>
  <c r="F106" i="19"/>
  <c r="M105" i="19"/>
  <c r="K105" i="19"/>
  <c r="O105" i="19" s="1"/>
  <c r="I105" i="19"/>
  <c r="F105" i="19"/>
  <c r="O104" i="19"/>
  <c r="N104" i="19"/>
  <c r="M104" i="19"/>
  <c r="K104" i="19"/>
  <c r="K109" i="19" s="1"/>
  <c r="I104" i="19"/>
  <c r="I109" i="19" s="1"/>
  <c r="I103" i="19" s="1"/>
  <c r="F104" i="19"/>
  <c r="F109" i="19" s="1"/>
  <c r="F103" i="19" s="1"/>
  <c r="G102" i="19"/>
  <c r="D102" i="19"/>
  <c r="M101" i="19"/>
  <c r="K101" i="19"/>
  <c r="O101" i="19" s="1"/>
  <c r="I101" i="19"/>
  <c r="F101" i="19"/>
  <c r="M100" i="19"/>
  <c r="K100" i="19"/>
  <c r="O100" i="19" s="1"/>
  <c r="I100" i="19"/>
  <c r="F100" i="19"/>
  <c r="M99" i="19"/>
  <c r="K99" i="19"/>
  <c r="O99" i="19" s="1"/>
  <c r="I99" i="19"/>
  <c r="F99" i="19"/>
  <c r="O98" i="19"/>
  <c r="M98" i="19"/>
  <c r="N98" i="19" s="1"/>
  <c r="K98" i="19"/>
  <c r="I98" i="19"/>
  <c r="F98" i="19"/>
  <c r="M97" i="19"/>
  <c r="K97" i="19"/>
  <c r="O97" i="19" s="1"/>
  <c r="I97" i="19"/>
  <c r="F97" i="19"/>
  <c r="O96" i="19"/>
  <c r="N96" i="19"/>
  <c r="M96" i="19"/>
  <c r="K96" i="19"/>
  <c r="I96" i="19"/>
  <c r="F96" i="19"/>
  <c r="M95" i="19"/>
  <c r="K95" i="19"/>
  <c r="O95" i="19" s="1"/>
  <c r="I95" i="19"/>
  <c r="I102" i="19" s="1"/>
  <c r="F95" i="19"/>
  <c r="F102" i="19" s="1"/>
  <c r="G94" i="19"/>
  <c r="D94" i="19"/>
  <c r="M93" i="19"/>
  <c r="K93" i="19"/>
  <c r="O93" i="19" s="1"/>
  <c r="I93" i="19"/>
  <c r="F93" i="19"/>
  <c r="M92" i="19"/>
  <c r="K92" i="19"/>
  <c r="N92" i="19" s="1"/>
  <c r="I92" i="19"/>
  <c r="F92" i="19"/>
  <c r="M91" i="19"/>
  <c r="K91" i="19"/>
  <c r="O91" i="19" s="1"/>
  <c r="I91" i="19"/>
  <c r="F91" i="19"/>
  <c r="M90" i="19"/>
  <c r="K90" i="19"/>
  <c r="N90" i="19" s="1"/>
  <c r="I90" i="19"/>
  <c r="F90" i="19"/>
  <c r="M89" i="19"/>
  <c r="N89" i="19" s="1"/>
  <c r="K89" i="19"/>
  <c r="O89" i="19" s="1"/>
  <c r="I89" i="19"/>
  <c r="F89" i="19"/>
  <c r="M88" i="19"/>
  <c r="K88" i="19"/>
  <c r="N88" i="19" s="1"/>
  <c r="I88" i="19"/>
  <c r="F88" i="19"/>
  <c r="M87" i="19"/>
  <c r="N87" i="19" s="1"/>
  <c r="K87" i="19"/>
  <c r="K94" i="19" s="1"/>
  <c r="I87" i="19"/>
  <c r="I94" i="19" s="1"/>
  <c r="F87" i="19"/>
  <c r="F94" i="19" s="1"/>
  <c r="G86" i="19"/>
  <c r="D86" i="19"/>
  <c r="O85" i="19"/>
  <c r="N85" i="19"/>
  <c r="M85" i="19"/>
  <c r="K85" i="19"/>
  <c r="I85" i="19"/>
  <c r="F85" i="19"/>
  <c r="M84" i="19"/>
  <c r="K84" i="19"/>
  <c r="O84" i="19" s="1"/>
  <c r="I84" i="19"/>
  <c r="F84" i="19"/>
  <c r="O83" i="19"/>
  <c r="N83" i="19"/>
  <c r="M83" i="19"/>
  <c r="K83" i="19"/>
  <c r="I83" i="19"/>
  <c r="F83" i="19"/>
  <c r="M82" i="19"/>
  <c r="K82" i="19"/>
  <c r="O82" i="19" s="1"/>
  <c r="I82" i="19"/>
  <c r="F82" i="19"/>
  <c r="O81" i="19"/>
  <c r="N81" i="19"/>
  <c r="M81" i="19"/>
  <c r="K81" i="19"/>
  <c r="I81" i="19"/>
  <c r="F81" i="19"/>
  <c r="M80" i="19"/>
  <c r="K80" i="19"/>
  <c r="O80" i="19" s="1"/>
  <c r="I80" i="19"/>
  <c r="F80" i="19"/>
  <c r="O79" i="19"/>
  <c r="O86" i="19" s="1"/>
  <c r="N79" i="19"/>
  <c r="M79" i="19"/>
  <c r="K79" i="19"/>
  <c r="K86" i="19" s="1"/>
  <c r="I79" i="19"/>
  <c r="I86" i="19" s="1"/>
  <c r="I78" i="19" s="1"/>
  <c r="F79" i="19"/>
  <c r="F86" i="19" s="1"/>
  <c r="F78" i="19" s="1"/>
  <c r="G77" i="19"/>
  <c r="D77" i="19"/>
  <c r="M76" i="19"/>
  <c r="K76" i="19"/>
  <c r="N76" i="19" s="1"/>
  <c r="I76" i="19"/>
  <c r="F76" i="19"/>
  <c r="M75" i="19"/>
  <c r="K75" i="19"/>
  <c r="O75" i="19" s="1"/>
  <c r="I75" i="19"/>
  <c r="F75" i="19"/>
  <c r="M74" i="19"/>
  <c r="K74" i="19"/>
  <c r="N74" i="19" s="1"/>
  <c r="I74" i="19"/>
  <c r="F74" i="19"/>
  <c r="N73" i="19"/>
  <c r="M73" i="19"/>
  <c r="K73" i="19"/>
  <c r="O73" i="19" s="1"/>
  <c r="I73" i="19"/>
  <c r="F73" i="19"/>
  <c r="M72" i="19"/>
  <c r="K72" i="19"/>
  <c r="N72" i="19" s="1"/>
  <c r="I72" i="19"/>
  <c r="F72" i="19"/>
  <c r="O71" i="19"/>
  <c r="N71" i="19"/>
  <c r="M71" i="19"/>
  <c r="K71" i="19"/>
  <c r="I71" i="19"/>
  <c r="F71" i="19"/>
  <c r="M70" i="19"/>
  <c r="K70" i="19"/>
  <c r="N70" i="19" s="1"/>
  <c r="I70" i="19"/>
  <c r="I77" i="19" s="1"/>
  <c r="F70" i="19"/>
  <c r="F77" i="19" s="1"/>
  <c r="G69" i="19"/>
  <c r="D69" i="19"/>
  <c r="M68" i="19"/>
  <c r="N68" i="19" s="1"/>
  <c r="K68" i="19"/>
  <c r="O68" i="19" s="1"/>
  <c r="I68" i="19"/>
  <c r="F68" i="19"/>
  <c r="M67" i="19"/>
  <c r="K67" i="19"/>
  <c r="O67" i="19" s="1"/>
  <c r="I67" i="19"/>
  <c r="F67" i="19"/>
  <c r="M66" i="19"/>
  <c r="N66" i="19" s="1"/>
  <c r="K66" i="19"/>
  <c r="O66" i="19" s="1"/>
  <c r="I66" i="19"/>
  <c r="F66" i="19"/>
  <c r="M65" i="19"/>
  <c r="K65" i="19"/>
  <c r="O65" i="19" s="1"/>
  <c r="I65" i="19"/>
  <c r="F65" i="19"/>
  <c r="M64" i="19"/>
  <c r="N64" i="19" s="1"/>
  <c r="K64" i="19"/>
  <c r="O64" i="19" s="1"/>
  <c r="I64" i="19"/>
  <c r="F64" i="19"/>
  <c r="M63" i="19"/>
  <c r="K63" i="19"/>
  <c r="O63" i="19" s="1"/>
  <c r="I63" i="19"/>
  <c r="F63" i="19"/>
  <c r="M62" i="19"/>
  <c r="N62" i="19" s="1"/>
  <c r="K62" i="19"/>
  <c r="O62" i="19" s="1"/>
  <c r="O69" i="19" s="1"/>
  <c r="I62" i="19"/>
  <c r="I69" i="19" s="1"/>
  <c r="F62" i="19"/>
  <c r="F69" i="19" s="1"/>
  <c r="G61" i="19"/>
  <c r="D61" i="19"/>
  <c r="O60" i="19"/>
  <c r="N60" i="19"/>
  <c r="M60" i="19"/>
  <c r="K60" i="19"/>
  <c r="I60" i="19"/>
  <c r="F60" i="19"/>
  <c r="M59" i="19"/>
  <c r="K59" i="19"/>
  <c r="N59" i="19" s="1"/>
  <c r="I59" i="19"/>
  <c r="F59" i="19"/>
  <c r="O58" i="19"/>
  <c r="N58" i="19"/>
  <c r="M58" i="19"/>
  <c r="K58" i="19"/>
  <c r="I58" i="19"/>
  <c r="F58" i="19"/>
  <c r="M57" i="19"/>
  <c r="K57" i="19"/>
  <c r="N57" i="19" s="1"/>
  <c r="I57" i="19"/>
  <c r="F57" i="19"/>
  <c r="O56" i="19"/>
  <c r="N56" i="19"/>
  <c r="M56" i="19"/>
  <c r="K56" i="19"/>
  <c r="I56" i="19"/>
  <c r="F56" i="19"/>
  <c r="M55" i="19"/>
  <c r="K55" i="19"/>
  <c r="N55" i="19" s="1"/>
  <c r="I55" i="19"/>
  <c r="F55" i="19"/>
  <c r="O54" i="19"/>
  <c r="N54" i="19"/>
  <c r="M54" i="19"/>
  <c r="K54" i="19"/>
  <c r="K61" i="19" s="1"/>
  <c r="I54" i="19"/>
  <c r="I61" i="19" s="1"/>
  <c r="I53" i="19" s="1"/>
  <c r="F54" i="19"/>
  <c r="F61" i="19" s="1"/>
  <c r="G51" i="19"/>
  <c r="D51" i="19"/>
  <c r="M50" i="19"/>
  <c r="K50" i="19"/>
  <c r="K51" i="19" s="1"/>
  <c r="I50" i="19"/>
  <c r="I51" i="19" s="1"/>
  <c r="I49" i="19" s="1"/>
  <c r="F50" i="19"/>
  <c r="F51" i="19" s="1"/>
  <c r="F49" i="19" s="1"/>
  <c r="G48" i="19"/>
  <c r="D48" i="19"/>
  <c r="M47" i="19"/>
  <c r="N47" i="19" s="1"/>
  <c r="N48" i="19" s="1"/>
  <c r="K47" i="19"/>
  <c r="K48" i="19" s="1"/>
  <c r="I47" i="19"/>
  <c r="I48" i="19" s="1"/>
  <c r="F47" i="19"/>
  <c r="F48" i="19" s="1"/>
  <c r="G46" i="19"/>
  <c r="D46" i="19"/>
  <c r="M45" i="19"/>
  <c r="K45" i="19"/>
  <c r="O45" i="19" s="1"/>
  <c r="I45" i="19"/>
  <c r="F45" i="19"/>
  <c r="M44" i="19"/>
  <c r="K44" i="19"/>
  <c r="O44" i="19" s="1"/>
  <c r="O46" i="19" s="1"/>
  <c r="O43" i="19" s="1"/>
  <c r="I44" i="19"/>
  <c r="I46" i="19" s="1"/>
  <c r="I43" i="19" s="1"/>
  <c r="I42" i="19" s="1"/>
  <c r="F44" i="19"/>
  <c r="F46" i="19" s="1"/>
  <c r="F43" i="19" s="1"/>
  <c r="F42" i="19" s="1"/>
  <c r="G41" i="19"/>
  <c r="D41" i="19"/>
  <c r="M40" i="19"/>
  <c r="K40" i="19"/>
  <c r="N40" i="19" s="1"/>
  <c r="I40" i="19"/>
  <c r="F40" i="19"/>
  <c r="O39" i="19"/>
  <c r="N39" i="19"/>
  <c r="M39" i="19"/>
  <c r="K39" i="19"/>
  <c r="K41" i="19" s="1"/>
  <c r="I39" i="19"/>
  <c r="I41" i="19" s="1"/>
  <c r="I38" i="19" s="1"/>
  <c r="F39" i="19"/>
  <c r="F41" i="19" s="1"/>
  <c r="F38" i="19" s="1"/>
  <c r="G37" i="19"/>
  <c r="D37" i="19"/>
  <c r="M36" i="19"/>
  <c r="K36" i="19"/>
  <c r="O36" i="19" s="1"/>
  <c r="I36" i="19"/>
  <c r="F36" i="19"/>
  <c r="O35" i="19"/>
  <c r="M35" i="19"/>
  <c r="N35" i="19" s="1"/>
  <c r="K35" i="19"/>
  <c r="I35" i="19"/>
  <c r="I37" i="19" s="1"/>
  <c r="I33" i="19" s="1"/>
  <c r="F35" i="19"/>
  <c r="O34" i="19"/>
  <c r="O37" i="19" s="1"/>
  <c r="O33" i="19" s="1"/>
  <c r="M34" i="19"/>
  <c r="K34" i="19"/>
  <c r="K37" i="19" s="1"/>
  <c r="F34" i="19"/>
  <c r="F37" i="19" s="1"/>
  <c r="F33" i="19" s="1"/>
  <c r="G32" i="19"/>
  <c r="D32" i="19"/>
  <c r="M31" i="19"/>
  <c r="K31" i="19"/>
  <c r="O31" i="19" s="1"/>
  <c r="I31" i="19"/>
  <c r="F31" i="19"/>
  <c r="M30" i="19"/>
  <c r="K30" i="19"/>
  <c r="K32" i="19" s="1"/>
  <c r="I30" i="19"/>
  <c r="I32" i="19" s="1"/>
  <c r="I29" i="19" s="1"/>
  <c r="F30" i="19"/>
  <c r="F32" i="19" s="1"/>
  <c r="F29" i="19" s="1"/>
  <c r="G28" i="19"/>
  <c r="D28" i="19"/>
  <c r="M27" i="19"/>
  <c r="K27" i="19"/>
  <c r="O27" i="19" s="1"/>
  <c r="O28" i="19" s="1"/>
  <c r="O26" i="19" s="1"/>
  <c r="I27" i="19"/>
  <c r="I28" i="19" s="1"/>
  <c r="I26" i="19" s="1"/>
  <c r="F27" i="19"/>
  <c r="F28" i="19" s="1"/>
  <c r="F26" i="19" s="1"/>
  <c r="G25" i="19"/>
  <c r="D25" i="19"/>
  <c r="M24" i="19"/>
  <c r="K24" i="19"/>
  <c r="O24" i="19" s="1"/>
  <c r="I24" i="19"/>
  <c r="F24" i="19"/>
  <c r="O23" i="19"/>
  <c r="M23" i="19"/>
  <c r="K23" i="19"/>
  <c r="K25" i="19" s="1"/>
  <c r="I23" i="19"/>
  <c r="I25" i="19" s="1"/>
  <c r="I22" i="19" s="1"/>
  <c r="F23" i="19"/>
  <c r="F25" i="19" s="1"/>
  <c r="F22" i="19" s="1"/>
  <c r="G19" i="19"/>
  <c r="D19" i="19"/>
  <c r="M18" i="19"/>
  <c r="K18" i="19"/>
  <c r="O18" i="19" s="1"/>
  <c r="O19" i="19" s="1"/>
  <c r="O17" i="19" s="1"/>
  <c r="O16" i="19" s="1"/>
  <c r="I18" i="19"/>
  <c r="I19" i="19" s="1"/>
  <c r="I17" i="19" s="1"/>
  <c r="I16" i="19" s="1"/>
  <c r="F18" i="19"/>
  <c r="F19" i="19" s="1"/>
  <c r="F17" i="19" s="1"/>
  <c r="F16" i="19" s="1"/>
  <c r="B6" i="19"/>
  <c r="I34" i="20" l="1"/>
  <c r="K34" i="20" s="1"/>
  <c r="O102" i="19"/>
  <c r="N41" i="19"/>
  <c r="N38" i="19" s="1"/>
  <c r="F21" i="19"/>
  <c r="O25" i="19"/>
  <c r="O22" i="19" s="1"/>
  <c r="F53" i="19"/>
  <c r="F52" i="19" s="1"/>
  <c r="N61" i="19"/>
  <c r="I21" i="19"/>
  <c r="I20" i="19" s="1"/>
  <c r="I52" i="19"/>
  <c r="K19" i="19"/>
  <c r="K28" i="19"/>
  <c r="O30" i="19"/>
  <c r="O32" i="19" s="1"/>
  <c r="O29" i="19" s="1"/>
  <c r="N36" i="19"/>
  <c r="N37" i="19" s="1"/>
  <c r="N33" i="19" s="1"/>
  <c r="O40" i="19"/>
  <c r="O41" i="19" s="1"/>
  <c r="O38" i="19" s="1"/>
  <c r="N44" i="19"/>
  <c r="K46" i="19"/>
  <c r="O47" i="19"/>
  <c r="O48" i="19" s="1"/>
  <c r="N50" i="19"/>
  <c r="N51" i="19" s="1"/>
  <c r="N49" i="19" s="1"/>
  <c r="O55" i="19"/>
  <c r="O61" i="19" s="1"/>
  <c r="O57" i="19"/>
  <c r="O59" i="19"/>
  <c r="N63" i="19"/>
  <c r="N69" i="19" s="1"/>
  <c r="N65" i="19"/>
  <c r="N67" i="19"/>
  <c r="K69" i="19"/>
  <c r="O70" i="19"/>
  <c r="O72" i="19"/>
  <c r="O74" i="19"/>
  <c r="O76" i="19"/>
  <c r="O88" i="19"/>
  <c r="O90" i="19"/>
  <c r="O92" i="19"/>
  <c r="N100" i="19"/>
  <c r="K102" i="19"/>
  <c r="O108" i="19"/>
  <c r="O109" i="19" s="1"/>
  <c r="O103" i="19" s="1"/>
  <c r="N24" i="19"/>
  <c r="N31" i="19"/>
  <c r="O50" i="19"/>
  <c r="O51" i="19" s="1"/>
  <c r="O49" i="19" s="1"/>
  <c r="N75" i="19"/>
  <c r="N77" i="19" s="1"/>
  <c r="K77" i="19"/>
  <c r="N91" i="19"/>
  <c r="N94" i="19" s="1"/>
  <c r="N93" i="19"/>
  <c r="N105" i="19"/>
  <c r="N109" i="19" s="1"/>
  <c r="N103" i="19" s="1"/>
  <c r="N107" i="19"/>
  <c r="N18" i="19"/>
  <c r="N19" i="19" s="1"/>
  <c r="N17" i="19" s="1"/>
  <c r="N16" i="19" s="1"/>
  <c r="N27" i="19"/>
  <c r="N28" i="19" s="1"/>
  <c r="N26" i="19" s="1"/>
  <c r="N45" i="19"/>
  <c r="N80" i="19"/>
  <c r="N82" i="19"/>
  <c r="N86" i="19" s="1"/>
  <c r="N84" i="19"/>
  <c r="O87" i="19"/>
  <c r="O94" i="19" s="1"/>
  <c r="O78" i="19" s="1"/>
  <c r="N95" i="19"/>
  <c r="N97" i="19"/>
  <c r="N99" i="19"/>
  <c r="N101" i="19"/>
  <c r="N23" i="19"/>
  <c r="N25" i="19" s="1"/>
  <c r="N22" i="19" s="1"/>
  <c r="N30" i="19"/>
  <c r="N32" i="19" s="1"/>
  <c r="N29" i="19" s="1"/>
  <c r="O53" i="19" l="1"/>
  <c r="O52" i="19" s="1"/>
  <c r="O77" i="19"/>
  <c r="O42" i="19"/>
  <c r="N21" i="19"/>
  <c r="N102" i="19"/>
  <c r="N78" i="19" s="1"/>
  <c r="O21" i="19"/>
  <c r="N46" i="19"/>
  <c r="N43" i="19" s="1"/>
  <c r="N42" i="19" s="1"/>
  <c r="N53" i="19"/>
  <c r="F20" i="19"/>
  <c r="N52" i="19" l="1"/>
  <c r="N20" i="19" s="1"/>
  <c r="O20" i="19"/>
  <c r="H54" i="10" l="1"/>
  <c r="G54" i="10"/>
  <c r="G47" i="10"/>
  <c r="H44" i="10"/>
  <c r="G44" i="10"/>
  <c r="E36" i="10"/>
  <c r="H69" i="10" l="1"/>
  <c r="G69" i="10"/>
  <c r="H67" i="10"/>
  <c r="G67" i="10"/>
  <c r="H31" i="10"/>
  <c r="G31" i="10"/>
  <c r="G30" i="10" s="1"/>
  <c r="H8" i="10" l="1"/>
  <c r="F7" i="10"/>
  <c r="E64" i="10" l="1"/>
  <c r="E65" i="10"/>
  <c r="E63" i="10"/>
  <c r="H77" i="10" l="1"/>
  <c r="H72" i="10" s="1"/>
  <c r="G77" i="10"/>
  <c r="G72" i="10" s="1"/>
  <c r="E68" i="10"/>
  <c r="H62" i="10"/>
  <c r="H61" i="10" s="1"/>
  <c r="G62" i="10"/>
  <c r="G61" i="10" s="1"/>
  <c r="E56" i="10" l="1"/>
  <c r="E57" i="10"/>
  <c r="E58" i="10"/>
  <c r="E59" i="10"/>
  <c r="E55" i="10"/>
  <c r="E49" i="10"/>
  <c r="E50" i="10"/>
  <c r="E51" i="10"/>
  <c r="E52" i="10"/>
  <c r="E48" i="10"/>
  <c r="H47" i="10"/>
  <c r="E33" i="10"/>
  <c r="E34" i="10"/>
  <c r="E35" i="10"/>
  <c r="E32" i="10"/>
  <c r="D35" i="10"/>
  <c r="D33" i="10"/>
  <c r="D32" i="10"/>
  <c r="D55" i="10" l="1"/>
  <c r="E46" i="10"/>
  <c r="E40" i="10" l="1"/>
  <c r="E45" i="10"/>
  <c r="E41" i="10"/>
  <c r="H39" i="10" l="1"/>
  <c r="G39" i="10"/>
  <c r="E43" i="10" l="1"/>
  <c r="H93" i="10" l="1"/>
  <c r="G93" i="10"/>
  <c r="H100" i="10" l="1"/>
  <c r="G100" i="10"/>
  <c r="H96" i="10"/>
  <c r="G96" i="10"/>
  <c r="H89" i="10"/>
  <c r="G89" i="10"/>
  <c r="H42" i="10"/>
  <c r="G42" i="10"/>
  <c r="H30" i="10"/>
  <c r="G38" i="10" l="1"/>
  <c r="G88" i="10"/>
  <c r="G111" i="10" s="1"/>
  <c r="H88" i="10"/>
  <c r="H111" i="10" s="1"/>
  <c r="H38" i="10"/>
  <c r="H37" i="10" s="1"/>
  <c r="G37" i="10" l="1"/>
  <c r="G29" i="10" s="1"/>
  <c r="H29" i="10"/>
  <c r="H103" i="10" s="1"/>
  <c r="G103" i="10" l="1"/>
  <c r="G110" i="10"/>
  <c r="G109" i="10" s="1"/>
  <c r="H110" i="10"/>
  <c r="H10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B6" authorId="0" shapeId="0" xr:uid="{00000000-0006-0000-02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xr:uid="{00000000-0006-0000-0200-000002000000}">
      <text>
        <r>
          <rPr>
            <sz val="9"/>
            <color indexed="81"/>
            <rFont val="Tahoma"/>
            <family val="2"/>
          </rPr>
          <t>El nombre de la unidad ejecutora se desplegará automáticamente después de seleccionar la sección.</t>
        </r>
      </text>
    </comment>
    <comment ref="B8" authorId="0" shapeId="0" xr:uid="{00000000-0006-0000-0200-000003000000}">
      <text>
        <r>
          <rPr>
            <sz val="9"/>
            <color indexed="81"/>
            <rFont val="Tahoma"/>
            <family val="2"/>
          </rPr>
          <t>Haga uso de la lista desplegable para seleccionar el nombre del Fondo Especial  o de la Renta Parafiscal de la cuál se programan los ingresos. Recuerde que este formulario aplica para Fondos Especiales Nación, Fondos Especiales de los Establecimientos Públicos y Rentas Parafiscales Nación (Contribución Espectáculos Públicos y FOMAG).
LAS DEMÁS RENTAS PARAFISCALES, A MENOS QUE SE REGISTREN DENTRO DE UN FONDO ESPECIAL ESPECÍFICO, SE PROGRAMAN COMO RECURSOS PROPIOS DE LOS ESTABLECIMIENTOS PÚBLICOS. 
En caso de programar ingresos para más de un fondo especial, por favor cree una copia de este formulario en otra hoja excel y diligénciela.</t>
        </r>
      </text>
    </comment>
    <comment ref="G8" authorId="1" shapeId="0" xr:uid="{00000000-0006-0000-0200-000004000000}">
      <text>
        <r>
          <rPr>
            <sz val="8"/>
            <color indexed="81"/>
            <rFont val="Tahoma"/>
            <family val="2"/>
          </rPr>
          <t>El Código SIIF se desplegará automáticamente al seleccionar el nombre del Fondo Especial.</t>
        </r>
      </text>
    </comment>
    <comment ref="F29" authorId="0" shapeId="0" xr:uid="{00000000-0006-0000-0200-000005000000}">
      <text>
        <r>
          <rPr>
            <sz val="8"/>
            <color indexed="81"/>
            <rFont val="Tahoma"/>
            <family val="2"/>
          </rPr>
          <t xml:space="preserve">Son los ingresos </t>
        </r>
        <r>
          <rPr>
            <b/>
            <sz val="8"/>
            <color indexed="81"/>
            <rFont val="Tahoma"/>
            <family val="2"/>
          </rPr>
          <t>REGULARES</t>
        </r>
        <r>
          <rPr>
            <sz val="8"/>
            <color indexed="81"/>
            <rFont val="Tahoma"/>
            <family val="2"/>
          </rPr>
          <t xml:space="preserve"> que percibe el Fondo Especial.</t>
        </r>
      </text>
    </comment>
    <comment ref="F30" authorId="0" shapeId="0" xr:uid="{00000000-0006-0000-0200-000006000000}">
      <text>
        <r>
          <rPr>
            <sz val="8"/>
            <color indexed="81"/>
            <rFont val="Tahoma"/>
            <family val="2"/>
          </rPr>
          <t>Son los ingreso por todo tipo de</t>
        </r>
        <r>
          <rPr>
            <b/>
            <sz val="8"/>
            <color indexed="81"/>
            <rFont val="Tahoma"/>
            <family val="2"/>
          </rPr>
          <t xml:space="preserve"> impuestos</t>
        </r>
        <r>
          <rPr>
            <sz val="8"/>
            <color indexed="81"/>
            <rFont val="Tahoma"/>
            <family val="2"/>
          </rPr>
          <t>, entendidos como  la obligación de hacer un pago, sin que exista una retribución particular por parte del Estado.</t>
        </r>
      </text>
    </comment>
    <comment ref="F31" authorId="0" shapeId="0" xr:uid="{00000000-0006-0000-0200-000007000000}">
      <text>
        <r>
          <rPr>
            <sz val="8"/>
            <color indexed="81"/>
            <rFont val="Tahoma"/>
            <family val="2"/>
          </rPr>
          <t xml:space="preserve">Son aquellos ingresos que la ley define como impuestos, pero que no gravan directamente los ingresos o el patrimonio de las personas naturales y jurídicas sino una manifestación o hecho específico. En los impuestos indirectos no existe una identificación concreta y previa del sujeto contribuyente y, por tanto, la capacidad de pago solamente se puede determinar por la propensión al consumo de los distintos sujetos pasivos del tributo.
</t>
        </r>
        <r>
          <rPr>
            <u/>
            <sz val="8"/>
            <color indexed="81"/>
            <rFont val="Tahoma"/>
            <family val="2"/>
          </rPr>
          <t>SI EL FONDO ESPECIAL RECIBE INGRESOS POR ESTE CONCEPTO, HAGA USO DE LA LISTA DESPLEGABLE PARA SEÑALAR EL IMPUESTO CORRESPONDIENTE</t>
        </r>
        <r>
          <rPr>
            <sz val="8"/>
            <color indexed="81"/>
            <rFont val="Tahoma"/>
            <family val="2"/>
          </rPr>
          <t>.</t>
        </r>
      </text>
    </comment>
    <comment ref="F37" authorId="0" shapeId="0" xr:uid="{00000000-0006-0000-0200-000008000000}">
      <text>
        <r>
          <rPr>
            <sz val="8"/>
            <color indexed="81"/>
            <rFont val="Tahoma"/>
            <family val="2"/>
          </rPr>
          <t xml:space="preserve">Son los ingresos corrientes que por ley </t>
        </r>
        <r>
          <rPr>
            <b/>
            <sz val="8"/>
            <color indexed="81"/>
            <rFont val="Tahoma"/>
            <family val="2"/>
          </rPr>
          <t>NO</t>
        </r>
        <r>
          <rPr>
            <sz val="8"/>
            <color indexed="81"/>
            <rFont val="Tahoma"/>
            <family val="2"/>
          </rPr>
          <t xml:space="preserve"> están definidos como impuestos.</t>
        </r>
      </text>
    </comment>
    <comment ref="F38" authorId="0" shapeId="0" xr:uid="{00000000-0006-0000-0200-000009000000}">
      <text>
        <r>
          <rPr>
            <sz val="8"/>
            <color indexed="81"/>
            <rFont val="Tahoma"/>
            <family val="2"/>
          </rPr>
          <t xml:space="preserve">Son los ingresos por cargas fiscales al patrimonio particular, sustentadas en la potestad tributaria del Estado. Incluye el ingreso por </t>
        </r>
        <r>
          <rPr>
            <b/>
            <sz val="8"/>
            <color indexed="81"/>
            <rFont val="Tahoma"/>
            <family val="2"/>
          </rPr>
          <t>contribuciones parafiscales</t>
        </r>
        <r>
          <rPr>
            <sz val="8"/>
            <color indexed="81"/>
            <rFont val="Tahoma"/>
            <family val="2"/>
          </rPr>
          <t xml:space="preserve">, que son los pagos que deben realizar los usuarios de algunos organismos públicos, mixtos o privados, para asegurar el financiamiento de estas entidades de manera autónoma; y el ingreso por </t>
        </r>
        <r>
          <rPr>
            <b/>
            <sz val="8"/>
            <color indexed="81"/>
            <rFont val="Tahoma"/>
            <family val="2"/>
          </rPr>
          <t>contribuciones especiales</t>
        </r>
        <r>
          <rPr>
            <sz val="8"/>
            <color indexed="81"/>
            <rFont val="Tahoma"/>
            <family val="2"/>
          </rPr>
          <t xml:space="preserve">, las cuales corresponden al pago por una inversión que beneficia a un grupo de personas. 
</t>
        </r>
        <r>
          <rPr>
            <u/>
            <sz val="8"/>
            <color indexed="81"/>
            <rFont val="Tahoma"/>
            <family val="2"/>
          </rPr>
          <t>POR FAVOR INDIQUE CON CLARIDAD LA BASE LEGAL DE CADA UNA DE LAS CONTRIBUCIONES REGISTRADAS.</t>
        </r>
      </text>
    </comment>
    <comment ref="F39" authorId="0" shapeId="0" xr:uid="{00000000-0006-0000-0200-00000A000000}">
      <text>
        <r>
          <rPr>
            <sz val="8"/>
            <color indexed="81"/>
            <rFont val="Tahoma"/>
            <family val="2"/>
          </rPr>
          <t>Son los ingresos por aportes de los empleados y de los empleadores a los sistemas de seguros sociales, destinados a cubrir un riesgo social como lo es en este caso la enfermedad o la vejez.</t>
        </r>
      </text>
    </comment>
    <comment ref="F42" authorId="0" shapeId="0" xr:uid="{00000000-0006-0000-0200-00000B000000}">
      <text>
        <r>
          <rPr>
            <sz val="8"/>
            <color indexed="81"/>
            <rFont val="Tahoma"/>
            <family val="2"/>
          </rPr>
          <t>Son los recaudos de aportes de los empleados y de los empleadores asociados a la nómina y que se destinan a financiar en este caso actividades de las Escuelas Industriales e Institutos Técnicos. Incluye Aportes de Cesantías.</t>
        </r>
      </text>
    </comment>
    <comment ref="F44" authorId="0" shapeId="0" xr:uid="{00000000-0006-0000-0200-00000C000000}">
      <text>
        <r>
          <rPr>
            <sz val="8"/>
            <color indexed="81"/>
            <rFont val="Tahoma"/>
            <family val="2"/>
          </rPr>
          <t>Las contribuciones especiales derivan su recaudo de la facultad impositiva del Estado y se fijan individualmente a cada una de las entidades de la administración y de los particulares o entidades que manejen fondos o bienes de la Nación.
A diferencia de las contribuciones diversas, las contribuciones especiales son señaladas expresamente por la ley o jurisprudencia como</t>
        </r>
        <r>
          <rPr>
            <b/>
            <sz val="8"/>
            <color indexed="81"/>
            <rFont val="Tahoma"/>
            <family val="2"/>
          </rPr>
          <t xml:space="preserve"> tributos especiales</t>
        </r>
        <r>
          <rPr>
            <sz val="8"/>
            <color indexed="81"/>
            <rFont val="Tahoma"/>
            <family val="2"/>
          </rPr>
          <t xml:space="preserve">, en la medida en que no están enmarcadas dentro de los conceptos de tasas y contribuciones que se cobren a los contribuyentes, como recuperación de los costos de los servicios que les presten o participación en los beneficios que les proporcionen, sino que se derivan de la facultad impositiva del Estado.
</t>
        </r>
        <r>
          <rPr>
            <u/>
            <sz val="8"/>
            <color indexed="81"/>
            <rFont val="Tahoma"/>
            <family val="2"/>
          </rPr>
          <t>SI EL FONDO ESPECIAL RECIBE INGRESOS POR ESTE CONCEPTO, HAGA USO DE LA LISTA DESPLEGABLE PARA SEÑALAR LA CONTRIBUCIÓN CORRESPONDIENTE.</t>
        </r>
      </text>
    </comment>
    <comment ref="F47" authorId="0" shapeId="0" xr:uid="{00000000-0006-0000-0200-00000D000000}">
      <text>
        <r>
          <rPr>
            <sz val="8"/>
            <color indexed="81"/>
            <rFont val="Tahoma"/>
            <family val="2"/>
          </rPr>
          <t xml:space="preserve">Comprende los ingresos por las demás contribuciones que no se clasifican en las cuentas anteriores.
 </t>
        </r>
        <r>
          <rPr>
            <u/>
            <sz val="8"/>
            <color indexed="81"/>
            <rFont val="Tahoma"/>
            <family val="2"/>
          </rPr>
          <t xml:space="preserve">
SI SU FONDO ESPECIAL RECIBE INGRESOS POR ESTE CONCEPTO, HAGA USO DE LA LISTA DESPLEGABLE PARA SEÑALAR LA CONTRIBUCIÓN CORRESPONDIENTE.</t>
        </r>
      </text>
    </comment>
    <comment ref="F53" authorId="0" shapeId="0" xr:uid="{00000000-0006-0000-0200-00000E000000}">
      <text>
        <r>
          <rPr>
            <sz val="8"/>
            <color indexed="81"/>
            <rFont val="Tahoma"/>
            <family val="2"/>
          </rPr>
          <t>En caso de percibir ingresos por una contribución diversa distinta a las señaladas en la lista desplegable por favor haga uso de esta casilla para su registro. 
ES OBLIGATORIO SEÑALAR LA BASE LEGAL DE LA MISMA PARA SU ANÁLISIS POSTERIOR.</t>
        </r>
      </text>
    </comment>
    <comment ref="F54" authorId="0" shapeId="0" xr:uid="{00000000-0006-0000-0200-00000F00000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EL FONDO ESPECIAL RECIBE INGRESOS POR ESTE CONCEPTO, HAGA USO DE LA LISTA DESPLEGABLE PARA SEÑALAR LA TASA O EL DERECHO ADMINISTRATIVO CORRESPONDIENTE.</t>
        </r>
      </text>
    </comment>
    <comment ref="F60" authorId="0" shapeId="0" xr:uid="{00000000-0006-0000-0200-000010000000}">
      <text>
        <r>
          <rPr>
            <sz val="8"/>
            <color indexed="81"/>
            <rFont val="Tahoma"/>
            <family val="2"/>
          </rPr>
          <t xml:space="preserve">En caso de percibir ingresos por una tasa o derecho administrativo distinto a los señalados por favor haga uso de esta casilla para su registro. 
ES OBLIGATORIO SEÑALAR LA BASE LEGAL DE LOS MISMOS PARA SU ANÁLISIS POSTERIOR.
RECUERDE QUE ESTA CUENTA SOLO INCLUYE LOS CONCEPTOS QUE ESTÁN </t>
        </r>
        <r>
          <rPr>
            <b/>
            <sz val="8"/>
            <color indexed="81"/>
            <rFont val="Tahoma"/>
            <family val="2"/>
          </rPr>
          <t>EXPRESAMENTE</t>
        </r>
        <r>
          <rPr>
            <sz val="8"/>
            <color indexed="81"/>
            <rFont val="Tahoma"/>
            <family val="2"/>
          </rPr>
          <t xml:space="preserve"> DEFINIDOS COMO TASAS O DERECHOS ADMINISTRATIVOS EN UNA </t>
        </r>
        <r>
          <rPr>
            <b/>
            <sz val="8"/>
            <color indexed="81"/>
            <rFont val="Tahoma"/>
            <family val="2"/>
          </rPr>
          <t>LEY.</t>
        </r>
      </text>
    </comment>
    <comment ref="F61" authorId="0" shapeId="0" xr:uid="{00000000-0006-0000-0200-000011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y los intereses de mora derivados del resarcimiento tarifado o indemnización de los perjuicios que padece un Estapúblico por no tener consigo el dinero en la oportunidad debida.</t>
        </r>
      </text>
    </comment>
    <comment ref="F62" authorId="0" shapeId="0" xr:uid="{00000000-0006-0000-0200-000012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66" authorId="0" shapeId="0" xr:uid="{00000000-0006-0000-0200-000013000000}">
      <text>
        <r>
          <rPr>
            <sz val="8"/>
            <color indexed="81"/>
            <rFont val="Tahoma"/>
            <family val="2"/>
          </rPr>
          <t>Comprende los ingresos derivados del resarcimiento tarifado o indemnización de los perjuicios que padece un Estapúblico por no tener consigo el dinero en la oportunidad debida.</t>
        </r>
      </text>
    </comment>
    <comment ref="F67" authorId="0" shapeId="0" xr:uid="{00000000-0006-0000-0200-000014000000}">
      <text>
        <r>
          <rPr>
            <sz val="8"/>
            <color indexed="81"/>
            <rFont val="Tahoma"/>
            <family val="2"/>
          </rPr>
          <t>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t>
        </r>
        <r>
          <rPr>
            <sz val="8"/>
            <color indexed="81"/>
            <rFont val="Tahoma"/>
            <family val="2"/>
          </rPr>
          <t xml:space="preserve">
</t>
        </r>
      </text>
    </comment>
    <comment ref="F68" authorId="1" shapeId="0" xr:uid="{00000000-0006-0000-0200-000015000000}">
      <text>
        <r>
          <rPr>
            <sz val="8"/>
            <color indexed="81"/>
            <rFont val="Tahoma"/>
            <family val="2"/>
          </rPr>
          <t xml:space="preserve">Recursos por concepto de la explotación de recursos naturales no renovables de propiedad del Estado. </t>
        </r>
      </text>
    </comment>
    <comment ref="F69" authorId="0" shapeId="0" xr:uid="{00000000-0006-0000-0200-000016000000}">
      <text>
        <r>
          <rPr>
            <sz val="8"/>
            <color theme="1"/>
            <rFont val="Tahoma"/>
            <family val="2"/>
          </rPr>
          <t>Comprende los ingresos por la venta de bienes y la prestación de servicios que realiza el Fondo Especial en desarrollo de sus funciones, independientemente de que las mismas estén o no relacionadas con actividades de producción, o si se venden o no a precios económicamente significativos.</t>
        </r>
      </text>
    </comment>
    <comment ref="F70" authorId="0" shapeId="0" xr:uid="{00000000-0006-0000-0200-000017000000}">
      <text>
        <r>
          <rPr>
            <sz val="8"/>
            <color indexed="81"/>
            <rFont val="Tahoma"/>
            <family val="2"/>
          </rPr>
          <t xml:space="preserve">Comprende la venta de bienes producidos o comercializados y de los servicios prestados por el Fondo Especial de forma regular, en desarrollo de las funciones definidas por la Constitución o la ley.  
</t>
        </r>
        <r>
          <rPr>
            <u/>
            <sz val="8"/>
            <color indexed="81"/>
            <rFont val="Tahoma"/>
            <family val="2"/>
          </rPr>
          <t>NO  INCLUYE TASAS Y DERECHOS ADMINISTRATIVOS.</t>
        </r>
      </text>
    </comment>
    <comment ref="F71" authorId="0" shapeId="0" xr:uid="{00000000-0006-0000-0200-000018000000}">
      <text>
        <r>
          <rPr>
            <sz val="8"/>
            <color indexed="81"/>
            <rFont val="Tahoma"/>
            <family val="2"/>
          </rPr>
          <t xml:space="preserve">Comprende la venta de bienes y servicios que no están relacionados directamente con las funciones principales del Fondo Especial. Es decir, que la venta de dichos bienes y servicios no resulta del desarrollo de las actividades económicas o sociales que realiza regularmente. 
</t>
        </r>
        <r>
          <rPr>
            <u/>
            <sz val="8"/>
            <color indexed="81"/>
            <rFont val="Tahoma"/>
            <family val="2"/>
          </rPr>
          <t>GENERALMENTE, SON VENTAS DE CARÁCTER INCIDENTAL.</t>
        </r>
      </text>
    </comment>
    <comment ref="F72" authorId="0" shapeId="0" xr:uid="{00000000-0006-0000-0200-000019000000}">
      <text>
        <r>
          <rPr>
            <sz val="8"/>
            <color indexed="81"/>
            <rFont val="Tahoma"/>
            <family val="2"/>
          </rPr>
          <t xml:space="preserve">Son los recursos que percibe REGULARMENTE el Fondo Especial SIN que exista la obligación de adquirir un bien, servicio o activo a cambio como contrapartida directa. </t>
        </r>
      </text>
    </comment>
    <comment ref="F73" authorId="0" shapeId="0" xr:uid="{00000000-0006-0000-0200-00001A00000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75" authorId="0" shapeId="0" xr:uid="{00000000-0006-0000-0200-00001B000000}">
      <text>
        <r>
          <rPr>
            <sz val="8"/>
            <color indexed="81"/>
            <rFont val="Tahoma"/>
            <family val="2"/>
          </rPr>
          <t>Corresponde a los recursos que, al no ser reclamados por sus beneficiarios, son asignados a órdenes de los despachos judiciales que se convierten a favor del Tesoro Nacional – Rama Judicial.</t>
        </r>
      </text>
    </comment>
    <comment ref="F76" authorId="0" shapeId="0" xr:uid="{00000000-0006-0000-0200-00001C000000}">
      <text>
        <r>
          <rPr>
            <sz val="8"/>
            <color indexed="81"/>
            <rFont val="Tahoma"/>
            <family val="2"/>
          </rPr>
          <t>Comprende los ingresos por la devolución del Impuesto al Valor Agregado - IVA que pagan algunos Fondos Especiales en calidad de instituciones estatales u oficiales de educación superior.</t>
        </r>
      </text>
    </comment>
    <comment ref="F77" authorId="0" shapeId="0" xr:uid="{00000000-0006-0000-0200-00001D000000}">
      <text>
        <r>
          <rPr>
            <sz val="8"/>
            <color indexed="81"/>
            <rFont val="Tahoma"/>
            <family val="2"/>
          </rPr>
          <t>Corresponde a las transferencias recibidas regularmente de otras unidades de gobierno y que no están condicionadas a la adquisición de un activo o al pago de un pasivo.</t>
        </r>
      </text>
    </comment>
    <comment ref="F78" authorId="0" shapeId="0" xr:uid="{00000000-0006-0000-0200-00001E000000}">
      <text>
        <r>
          <rPr>
            <sz val="8"/>
            <color indexed="81"/>
            <rFont val="Tahoma"/>
            <family val="2"/>
          </rPr>
          <t xml:space="preserve">Corresponde a los ingresos por concepto de transferencias recibidas por otras unidades de gobierno, distintas de los aportes de la Nación a los Establecimientos Públicos.
</t>
        </r>
        <r>
          <rPr>
            <u/>
            <sz val="8"/>
            <color indexed="81"/>
            <rFont val="Tahoma"/>
            <family val="2"/>
          </rPr>
          <t xml:space="preserve">
POR FAVOR INDIQUE CON CLARIDAD LA BASE LEGAL O JUSTIFICACIÓN PARA PERCIBIR ESTE INGRESO.</t>
        </r>
      </text>
    </comment>
    <comment ref="F79" authorId="0" shapeId="0" xr:uid="{00000000-0006-0000-0200-00001F000000}">
      <text>
        <r>
          <rPr>
            <sz val="8"/>
            <color indexed="81"/>
            <rFont val="Tahoma"/>
            <family val="2"/>
          </rPr>
          <t>Corresponde a recursos de carácter transitorio que por disposición deben ser recepcionados para su posterior asignación a los beneficiarios o ejecutores de los mismos.
Incluye: Ingresos por concepto de acciones populares y de grupo que se consignan en el Fondo Especial Fondo para defensa de derechos e intereses colectivos, pagaderos a los beneficiarios de las mismas y los ingresos del fondo especial Fondo FONPET Magisterio.</t>
        </r>
      </text>
    </comment>
    <comment ref="F80" authorId="0" shapeId="0" xr:uid="{00000000-0006-0000-0200-000020000000}">
      <text>
        <r>
          <rPr>
            <sz val="8"/>
            <color indexed="81"/>
            <rFont val="Tahoma"/>
            <family val="2"/>
          </rPr>
          <t>Recursos provenientes de la pérdida del derecho real, principal o accesorio que se tiene sobre un bien o recurso, a favor del Estado, y sin contraprestación o compensación alguna para su titular.</t>
        </r>
      </text>
    </comment>
    <comment ref="F81" authorId="2" shapeId="0" xr:uid="{00000000-0006-0000-0200-000021000000}">
      <text>
        <r>
          <rPr>
            <sz val="9"/>
            <color indexed="81"/>
            <rFont val="Tahoma"/>
            <family val="2"/>
          </rPr>
          <t>Ingreso que perciben las entidades definidas por ley como beneficiarias del porcentaje de recursos que se destinan de FRISCO</t>
        </r>
      </text>
    </comment>
    <comment ref="F82" authorId="2" shapeId="0" xr:uid="{00000000-0006-0000-0200-000022000000}">
      <text>
        <r>
          <rPr>
            <sz val="9"/>
            <color indexed="81"/>
            <rFont val="Tahoma"/>
            <family val="2"/>
          </rPr>
          <t>Recursos  que son declarados a favor del Fondo para la Administración de Bienes de la Fiscalía (FEAB)</t>
        </r>
      </text>
    </comment>
    <comment ref="F83" authorId="2" shapeId="0" xr:uid="{00000000-0006-0000-0200-000023000000}">
      <text>
        <r>
          <rPr>
            <sz val="9"/>
            <color indexed="81"/>
            <rFont val="Tahoma"/>
            <family val="2"/>
          </rPr>
          <t>Recaudo de penalidades pecuniarias que establecen los jueces a las partes y terceros en el marco de los procesos judiciales y arbitrales</t>
        </r>
      </text>
    </comment>
    <comment ref="F84" authorId="2" shapeId="0" xr:uid="{00000000-0006-0000-0200-000024000000}">
      <text>
        <r>
          <rPr>
            <sz val="9"/>
            <color indexed="81"/>
            <rFont val="Tahoma"/>
            <family val="2"/>
          </rPr>
          <t>Corresponde al 2% de los recursos recaudados en cumplimiento de lo establecido en la ley 1743 de 2014</t>
        </r>
      </text>
    </comment>
    <comment ref="F85" authorId="2" shapeId="0" xr:uid="{00000000-0006-0000-0200-000025000000}">
      <text>
        <r>
          <rPr>
            <sz val="9"/>
            <color indexed="81"/>
            <rFont val="Tahoma"/>
            <family val="2"/>
          </rPr>
          <t>Ingreso correspondiente a la distribucción del 72% de los ingresos por  los derechos por registro de instrumentos públicos y otorgamiento de escrituras recaudados por la SNR</t>
        </r>
      </text>
    </comment>
    <comment ref="F86" authorId="0" shapeId="0" xr:uid="{00000000-0006-0000-0200-000026000000}">
      <text>
        <r>
          <rPr>
            <sz val="8"/>
            <color indexed="81"/>
            <rFont val="Tahoma"/>
            <family val="2"/>
          </rPr>
          <t>Recursos provenientes de la compensación por Unidad de Pago por Capitación que reciben algunos Fondos Especiales que prestan servicios de aseguramiento en salud.</t>
        </r>
      </text>
    </comment>
    <comment ref="F87" authorId="0" shapeId="0" xr:uid="{00000000-0006-0000-0200-000027000000}">
      <text>
        <r>
          <rPr>
            <sz val="8"/>
            <color indexed="81"/>
            <rFont val="Tahoma"/>
            <family val="2"/>
          </rPr>
          <t>En caso de percibir ingresos por una transferencia corriente distinta a las señaladas por favor haga uso de esta casilla para su registro. 
ES OBLIGATORIO SEÑALAR LA BASE LEGAL DE LA MISMA PARA SU ANÁLISIS POSTERIOR.</t>
        </r>
      </text>
    </comment>
    <comment ref="F88" authorId="0" shapeId="0" xr:uid="{00000000-0006-0000-0200-000028000000}">
      <text>
        <r>
          <rPr>
            <sz val="8"/>
            <color indexed="81"/>
            <rFont val="Tahoma"/>
            <family val="2"/>
          </rPr>
          <t>Recursos que entran a las arcas públicas de manera esporádica. Su cuantía es indeterminada, lo cual difícilmente asegura su continuidad durante amplios periodos presupuestales.</t>
        </r>
      </text>
    </comment>
    <comment ref="F89" authorId="0" shapeId="0" xr:uid="{00000000-0006-0000-0200-000029000000}">
      <text>
        <r>
          <rPr>
            <sz val="8"/>
            <color indexed="81"/>
            <rFont val="Tahoma"/>
            <family val="2"/>
          </rPr>
          <t>Comprende los recursos provenientes del traslado de derecho y dominio parcial o total de activos con destino a la financiación del Fondo Especial.</t>
        </r>
      </text>
    </comment>
    <comment ref="F90" authorId="0" shapeId="0" xr:uid="{00000000-0006-0000-0200-00002A000000}">
      <text>
        <r>
          <rPr>
            <sz val="8"/>
            <color indexed="81"/>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Incluye: Acciones, reducciones de capital y reembolso de participaciones en fondos de inversión.
</t>
        </r>
        <r>
          <rPr>
            <u/>
            <sz val="8"/>
            <color indexed="81"/>
            <rFont val="Tahoma"/>
            <family val="2"/>
          </rPr>
          <t>NO INCLUYE NI DISTRIBUCIÓN DE UTILIDADES NI EXCENDENTES FINANCIEROS.</t>
        </r>
      </text>
    </comment>
    <comment ref="F91" authorId="0" shapeId="0" xr:uid="{00000000-0006-0000-0200-00002B000000}">
      <text>
        <r>
          <rPr>
            <sz val="8"/>
            <color indexed="81"/>
            <rFont val="Tahoma"/>
            <family val="2"/>
          </rPr>
          <t xml:space="preserve">Son los recursos recibidos esporádicamente, a cambio de poner activos no financieros (activos producidos y activos no producidos) a disposición de otra unidad. Estos ingresos no aumentan el patrimonio del Fondo Especial.
</t>
        </r>
        <r>
          <rPr>
            <u/>
            <sz val="8"/>
            <color indexed="81"/>
            <rFont val="Tahoma"/>
            <family val="2"/>
          </rPr>
          <t>INCLUYE LA VENTA DE TERRENOS Y EDIFICACIONES.</t>
        </r>
      </text>
    </comment>
    <comment ref="F92" authorId="0" shapeId="0" xr:uid="{00000000-0006-0000-0200-00002C000000}">
      <text>
        <r>
          <rPr>
            <sz val="8"/>
            <color indexed="81"/>
            <rFont val="Tahoma"/>
            <family val="2"/>
          </rPr>
          <t>Comprende las ganancias que recibe el Fondo Especial en calidad de propietario de inversiones de capital, a cambio de poner fondos a disposición de sociedades.</t>
        </r>
      </text>
    </comment>
    <comment ref="F93" authorId="0" shapeId="0" xr:uid="{00000000-0006-0000-0200-00002D000000}">
      <text>
        <r>
          <rPr>
            <sz val="8"/>
            <color theme="1"/>
            <rFont val="Tahoma"/>
            <family val="2"/>
          </rPr>
          <t xml:space="preserve">Son los ingresos que se reciben en retorno por poner ciertos activos financieros del Fondo Especial a disposición de terceros, sin trasladar el derecho o dominio, total o parcial del activo. 
</t>
        </r>
        <r>
          <rPr>
            <u/>
            <sz val="8"/>
            <color theme="1"/>
            <rFont val="Tahoma"/>
            <family val="2"/>
          </rPr>
          <t>SI SE TRASLADA EL DERECHO O DOMINIO DEL ACTIVO SE REGISTRA COMO DISPOSICIÓN DE ACTIVOS FINANCIEROS.</t>
        </r>
      </text>
    </comment>
    <comment ref="F94" authorId="0" shapeId="0" xr:uid="{00000000-0006-0000-0200-00002E000000}">
      <text>
        <r>
          <rPr>
            <sz val="8"/>
            <color indexed="81"/>
            <rFont val="Tahoma"/>
            <family val="2"/>
          </rPr>
          <t>Son las rentas de inversión derivadas de las operaciones financieras que realiza el Fondo Especial con sus excedentes de liquidez : Títulos participativos, depósitos, valores distintos de acciones, rendimientos de la Cuenta Única Nacional y anticipos a terceros.</t>
        </r>
      </text>
    </comment>
    <comment ref="F95" authorId="0" shapeId="0" xr:uid="{00000000-0006-0000-0200-00002F000000}">
      <text>
        <r>
          <rPr>
            <sz val="8"/>
            <color indexed="81"/>
            <rFont val="Tahoma"/>
            <family val="2"/>
          </rPr>
          <t>Son las rentas de inversión que generan los fondos en préstamo que tiene el Fondo Especial.</t>
        </r>
      </text>
    </comment>
    <comment ref="F96" authorId="0" shapeId="0" xr:uid="{00000000-0006-0000-0200-000030000000}">
      <text>
        <r>
          <rPr>
            <sz val="8"/>
            <color indexed="81"/>
            <rFont val="Tahoma"/>
            <family val="2"/>
          </rPr>
          <t>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Fondo Especial.</t>
        </r>
      </text>
    </comment>
    <comment ref="F97" authorId="0" shapeId="0" xr:uid="{00000000-0006-0000-0200-000031000000}">
      <text>
        <r>
          <rPr>
            <sz val="8"/>
            <color theme="1"/>
            <rFont val="Tahoma"/>
            <family val="2"/>
          </rPr>
          <t xml:space="preserve">Recursos que recibe el Fondo Especial, de otros gobiernos o instituciones públicas o privadas de carácter nacional o internacional, sin contraprestación directa, pero con la destinación que establezca el donante. </t>
        </r>
      </text>
    </comment>
    <comment ref="F98" authorId="0" shapeId="0" xr:uid="{00000000-0006-0000-0200-000032000000}">
      <text>
        <r>
          <rPr>
            <sz val="8"/>
            <color theme="1"/>
            <rFont val="Tahoma"/>
            <family val="2"/>
          </rPr>
          <t>Recursos que recibe el Fondo Especial por liquidaciones de seguros no de vida, excepcionalmente cuantiosas, que se reciben luego de un desastre o una catástrofe natural.</t>
        </r>
      </text>
    </comment>
    <comment ref="F99" authorId="0" shapeId="0" xr:uid="{00000000-0006-0000-0200-000033000000}">
      <text>
        <r>
          <rPr>
            <sz val="8"/>
            <color indexed="81"/>
            <rFont val="Tahoma"/>
            <family val="2"/>
          </rPr>
          <t xml:space="preserve">Corresponde a la amortización de los préstamos que hace el Fondo Especial a otras unidades del gobierno o a personas naturales. </t>
        </r>
      </text>
    </comment>
    <comment ref="F100" authorId="1" shapeId="0" xr:uid="{00000000-0006-0000-0200-000034000000}">
      <text>
        <r>
          <rPr>
            <sz val="8"/>
            <color indexed="81"/>
            <rFont val="Tahoma"/>
            <family val="2"/>
          </rPr>
          <t>Son los recursos que se consignan transitoriamente en un Fondo Especial porque la norma centraliza su recaudo en esa unidad, mientras se entregan a su beneficiario legal.</t>
        </r>
      </text>
    </comment>
    <comment ref="F101" authorId="0" shapeId="0" xr:uid="{00000000-0006-0000-0200-000035000000}">
      <text>
        <r>
          <rPr>
            <sz val="8"/>
            <color indexed="81"/>
            <rFont val="Tahoma"/>
            <family val="2"/>
          </rPr>
          <t>Son los ingresos que reciben algunos órganos del PGN por concepto de los ahorros que voluntariamente hacen sus trabajadores a un Fondo Especial.</t>
        </r>
      </text>
    </comment>
    <comment ref="F102" authorId="0" shapeId="0" xr:uid="{00000000-0006-0000-0200-000036000000}">
      <text>
        <r>
          <rPr>
            <sz val="8"/>
            <color indexed="81"/>
            <rFont val="Tahoma"/>
            <family val="2"/>
          </rPr>
          <t>Son los montos que las entidades financiadas con aportes del presupuesto nacional reintegran a la DGCPTN, como saldos de recursos no ejecutados o valores superiores no previstos correspondientes a un Fondo Especial.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A5" authorId="0" shapeId="0" xr:uid="{5732B9E7-A17A-4E20-BCCB-DDE5AD82A1E5}">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1D3F8FB3-F57F-4B46-A9C1-8286AB8FFD08}">
      <text>
        <r>
          <rPr>
            <sz val="9"/>
            <color indexed="81"/>
            <rFont val="Tahoma"/>
            <family val="2"/>
          </rPr>
          <t>El nombre de la unidad ejecutora se desplegará automáticamente después de seleccionar la sección.</t>
        </r>
      </text>
    </comment>
    <comment ref="A7" authorId="0" shapeId="0" xr:uid="{126E65E5-B4BC-4850-B61D-72CF64BDB352}">
      <text>
        <r>
          <rPr>
            <sz val="9"/>
            <color indexed="81"/>
            <rFont val="Tahoma"/>
            <family val="2"/>
          </rPr>
          <t>Haga uso de la lista desplegable para seleccionar el nombre del Fondo Especial  o de la Contribución Parafiscal Nación de la cuál se calculan los ingresos corrientes. Recuerde que este formulario aplica para Fondos Especiales Nación, Fondos Especiales de los Establecimientos Públicos y Contribuciones Parafiscales Nación (Contribución Espectáculos Públicos y FOMAG).
En caso de programar ingresos para más de un fondo especial, por favor cree una copia de este formulario en otra hoja excel y diligénciela.</t>
        </r>
      </text>
    </comment>
    <comment ref="A11" authorId="0" shapeId="0" xr:uid="{C4750F3F-E817-4AB6-9158-4DC47AD42A4F}">
      <text>
        <r>
          <rPr>
            <sz val="9"/>
            <color indexed="81"/>
            <rFont val="Tahoma"/>
            <family val="2"/>
          </rPr>
          <t>Haga uso de las listas desplegables para escoger el producto respectivo cuando sea el caso.</t>
        </r>
      </text>
    </comment>
    <comment ref="B11" authorId="0" shapeId="0" xr:uid="{FE7FA535-80CB-4160-A144-027D9B6BA95B}">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Haga uso de la lista desplegable generada para tal fin.</t>
        </r>
        <r>
          <rPr>
            <sz val="9"/>
            <color indexed="81"/>
            <rFont val="Tahoma"/>
            <family val="2"/>
          </rPr>
          <t xml:space="preserve">
</t>
        </r>
      </text>
    </comment>
    <comment ref="J13" authorId="0" shapeId="0" xr:uid="{413FD21F-F0BA-4FE3-B5C9-AA1D6147924E}">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36" authorId="0" shapeId="0" xr:uid="{209583B2-A7D1-48D6-8425-DED8B6CD95DC}">
      <text>
        <r>
          <rPr>
            <b/>
            <sz val="9"/>
            <color indexed="81"/>
            <rFont val="Tahoma"/>
            <family val="2"/>
          </rPr>
          <t>En caso de percibir ingresos por una contribución diversa distinta a las señaladas en la lista desplegable por favor haga uso de esta casilla para su registro. 
ES OBLIGATORIO SEÑALAR LA BASE LEGAL DE LA MISMA PARA SU ANÁLISIS POSTERIOR.</t>
        </r>
      </text>
    </comment>
    <comment ref="A40" authorId="0" shapeId="0" xr:uid="{A3EB9EAD-F3EB-4EF8-A984-B74CBAD5A84C}">
      <text>
        <r>
          <rPr>
            <b/>
            <sz val="9"/>
            <color indexed="81"/>
            <rFont val="Tahoma"/>
            <family val="2"/>
          </rPr>
          <t xml:space="preserve">En caso de percibir ingresos por una tasa o derecho administrativo distinto a los señalados en la lista desplegable por favor haga uso de esta casilla para su registro. 
ES OBLIGATORIO SEÑALAR LA BASE LEGAL DE LOS MISMOS PARA SU ANÁLISIS POSTERIOR.
RECUERDE QUE ESTA CUENTA SOLO INCLUYE LOS CONCEPTOS QUE ESTÁN EXPRESAMENTE DEFINIDOS COMO TASAS O DERECHOS ADMINISTRATIVOS EN UNA </t>
        </r>
        <r>
          <rPr>
            <b/>
            <u/>
            <sz val="8"/>
            <color indexed="81"/>
            <rFont val="Tahoma"/>
            <family val="2"/>
          </rPr>
          <t>LEY</t>
        </r>
        <r>
          <rPr>
            <b/>
            <sz val="9"/>
            <color indexed="81"/>
            <rFont val="Tahoma"/>
            <family val="2"/>
          </rPr>
          <t>.</t>
        </r>
      </text>
    </comment>
    <comment ref="A108" authorId="0" shapeId="0" xr:uid="{EDF7B740-BA57-4A02-BA33-B0259DB745AE}">
      <text>
        <r>
          <rPr>
            <b/>
            <sz val="9"/>
            <color indexed="81"/>
            <rFont val="Tahoma"/>
            <family val="2"/>
          </rPr>
          <t>En caso de percibir ingresos por una transferencia corriente distinta a las señaladas en la lista desplegable por favor haga uso de esta casilla para su registro. 
ES OBLIGATORIO SEÑALAR LA BASE LEGAL DE LA MISMA PARA SU ANÁLISIS POSTERIOR.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Fernando Romero Fandiño</author>
  </authors>
  <commentList>
    <comment ref="O10" authorId="0" shapeId="0" xr:uid="{E3AB45C7-79A3-4074-A193-3FA14D774885}">
      <text>
        <r>
          <rPr>
            <sz val="9"/>
            <color indexed="81"/>
            <rFont val="Tahoma"/>
            <family val="2"/>
          </rPr>
          <t xml:space="preserve">Utilice esta columna para registrar el fundamento legal / justificación que sustenta el gasto respectivo, que constituye el soporte para el análisis de programación por parte de la DGPPN.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Lelio Rodriguez Pabon</author>
  </authors>
  <commentList>
    <comment ref="B5" authorId="0" shapeId="0" xr:uid="{6694E26F-B83B-44DC-9089-4816987A8BE3}">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7821162E-E7FA-451B-9736-11B5EA4F42AF}">
      <text>
        <r>
          <rPr>
            <sz val="9"/>
            <color indexed="81"/>
            <rFont val="Tahoma"/>
            <family val="2"/>
          </rPr>
          <t>El nombre de la unidad ejecutora se desplegará automáticamente después de seleccionar la sección.</t>
        </r>
      </text>
    </comment>
    <comment ref="L13" authorId="0" shapeId="0" xr:uid="{53410150-92A9-4B4C-96E7-C1227643CACB}">
      <text>
        <r>
          <rPr>
            <sz val="10"/>
            <color indexed="81"/>
            <rFont val="Tahoma"/>
            <family val="2"/>
          </rPr>
          <t>Las celdas habilitadas en este concepto (y en otros específicos) contienen comentarios para guiar la clasificación.</t>
        </r>
      </text>
    </comment>
    <comment ref="L15" authorId="2" shapeId="0" xr:uid="{31809590-42FE-4B3D-85A3-B69D3CC8AC8F}">
      <text>
        <r>
          <rPr>
            <sz val="9"/>
            <color indexed="81"/>
            <rFont val="Tahoma"/>
            <family val="2"/>
          </rPr>
          <t>Aportes al SENA, ICBF, ESAP</t>
        </r>
      </text>
    </comment>
    <comment ref="N21" authorId="2" shapeId="0" xr:uid="{1E20FC10-4ECE-4488-8329-A9E8FC50CAEA}">
      <text>
        <r>
          <rPr>
            <sz val="9"/>
            <color indexed="81"/>
            <rFont val="Tahoma"/>
            <family val="2"/>
          </rPr>
          <t>Elementos militares
de un solo uso</t>
        </r>
      </text>
    </comment>
    <comment ref="K23" authorId="2" shapeId="0" xr:uid="{7298B139-4026-4FE4-B511-1BB5BDC28363}">
      <text>
        <r>
          <rPr>
            <sz val="9"/>
            <color indexed="81"/>
            <rFont val="Tahoma"/>
            <family val="2"/>
          </rPr>
          <t>Pensiones y programas de asistencia social.</t>
        </r>
      </text>
    </comment>
    <comment ref="L23" authorId="2" shapeId="0" xr:uid="{384F4EA3-A5F4-45A1-B66F-94F0E39E4CC6}">
      <text>
        <r>
          <rPr>
            <sz val="9"/>
            <color indexed="81"/>
            <rFont val="Tahoma"/>
            <family val="2"/>
          </rPr>
          <t>A instituciones sin ánimo de lucro, becas, sentencias, entre otros.</t>
        </r>
      </text>
    </comment>
    <comment ref="N23" authorId="2" shapeId="0" xr:uid="{64177678-37D3-4002-800F-06E078E0BEB1}">
      <text>
        <r>
          <rPr>
            <sz val="9"/>
            <color indexed="81"/>
            <rFont val="Tahoma"/>
            <family val="2"/>
          </rPr>
          <t>A productores de mercado que se distribuyen directamente a los hogares</t>
        </r>
      </text>
    </comment>
    <comment ref="L25" authorId="2" shapeId="0" xr:uid="{6C42A6B4-3D6D-4765-93D0-EA4BE9FD0746}">
      <text>
        <r>
          <rPr>
            <sz val="9"/>
            <color indexed="81"/>
            <rFont val="Tahoma"/>
            <family val="2"/>
          </rPr>
          <t>Para pago de deuda o intereses.</t>
        </r>
      </text>
    </comment>
    <comment ref="L33" authorId="0" shapeId="0" xr:uid="{EED8FA41-118B-4A12-94D2-1368364A53FD}">
      <text>
        <r>
          <rPr>
            <sz val="9"/>
            <color indexed="81"/>
            <rFont val="Tahoma"/>
            <family val="2"/>
          </rPr>
          <t>Impuestos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DFEF43B5-BA5A-49D4-BD3D-F9712F58865B}">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5" authorId="1" shapeId="0" xr:uid="{6C4493DE-188E-4FBF-8B63-4B0A19DC8807}">
      <text>
        <r>
          <rPr>
            <sz val="9"/>
            <color indexed="81"/>
            <rFont val="Tahoma"/>
            <family val="2"/>
          </rPr>
          <t>El nombre de la unidad ejecutora se desplegará automáticamente después de seleccionar la sección.</t>
        </r>
      </text>
    </comment>
    <comment ref="D9" authorId="2" shapeId="0" xr:uid="{252D6A11-B809-4F94-8387-0ED7FE9B0E2C}">
      <text>
        <r>
          <rPr>
            <sz val="9"/>
            <color indexed="81"/>
            <rFont val="Tahoma"/>
            <family val="2"/>
          </rPr>
          <t xml:space="preserve">Comprende las remuneraciones pagadas en efectivo o en especie a los empleados vinculados laboralmente con el Estado, como contraprestación por los servicios prestados.
SE COMPONE DE UN SUELDO BÁSICO Y POR LOS DEMÁS PAGOS QUE TIENEN COMO FINALIDAD REMUNERAR EL TRABAJO DEL EMPLEADO. 
</t>
        </r>
      </text>
    </comment>
    <comment ref="W9" authorId="2" shapeId="0" xr:uid="{761108B7-05EE-4CFE-B5CD-A462B4BE76A4}">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G9" authorId="2" shapeId="0" xr:uid="{F744377C-49C4-4EF6-AC13-06DECCDC080E}">
      <text>
        <r>
          <rPr>
            <sz val="9"/>
            <color indexed="81"/>
            <rFont val="Tahoma"/>
            <family val="2"/>
          </rPr>
          <t>Corresponde a las contribuciones legales que debe hacer una entidad como empleadora, a entidades del sector privado y público.</t>
        </r>
      </text>
    </comment>
    <comment ref="AR9" authorId="2" shapeId="0" xr:uid="{7763053C-EDBF-4D2C-92D7-593465B8D936}">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90DB08D0-76E7-4845-9089-A0E5F7E8781C}">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Q10" authorId="2" shapeId="0" xr:uid="{B1AE4FCE-6BB8-4E4E-BB37-505A465F581A}">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W10" authorId="2" shapeId="0" xr:uid="{E33C7E77-CA6D-4703-BF94-35044BD89EE1}">
      <text>
        <r>
          <rPr>
            <sz val="9"/>
            <color indexed="81"/>
            <rFont val="Tahoma"/>
            <family val="2"/>
          </rPr>
          <t xml:space="preserve">Comprenden  las prestaciones sociales que la ley reconoce a los servidores públicos con el fin de cubrir riesgos o necesidades del trabajador en relación o con motivo de su trabajo.
ESTAS PRESTACIONES </t>
        </r>
        <r>
          <rPr>
            <b/>
            <sz val="9"/>
            <color indexed="81"/>
            <rFont val="Tahoma"/>
            <family val="2"/>
          </rPr>
          <t xml:space="preserve">NO </t>
        </r>
        <r>
          <rPr>
            <sz val="9"/>
            <color indexed="81"/>
            <rFont val="Tahoma"/>
            <family val="2"/>
          </rPr>
          <t>RETRIBUYEN DIRECTAMENTE LOS SERVICIOS PRESTADOS POR LOS TRABAJADORES</t>
        </r>
      </text>
    </comment>
    <comment ref="AA10" authorId="2" shapeId="0" xr:uid="{60379E3E-601A-467C-A530-1773151AB68B}">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G10" authorId="2" shapeId="0" xr:uid="{7ED1CD7C-8A70-45C9-B17C-089E6ADA7FDD}">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H10" authorId="2" shapeId="0" xr:uid="{989DC72B-DA33-46F4-85EE-4618E5172030}">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I10" authorId="2" shapeId="0" xr:uid="{7D541668-CC80-44A9-95CE-9A913BDFDDDB}">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K10" authorId="2" shapeId="0" xr:uid="{2B0536A1-5F95-47B9-8D16-F9697F254E44}">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L10" authorId="2" shapeId="0" xr:uid="{266A2F39-089C-4F62-A8AF-FCD28709C2A1}">
      <text>
        <r>
          <rPr>
            <sz val="9"/>
            <color indexed="81"/>
            <rFont val="Tahoma"/>
            <family val="2"/>
          </rPr>
          <t>Es la contribución parafiscal a pagar por todos los patronos y entidades públicas y privadas  al Instituto Colombiano de Bienestar Familiar (ICBF)</t>
        </r>
      </text>
    </comment>
    <comment ref="AM10" authorId="2" shapeId="0" xr:uid="{0803BB22-31F8-4D8A-9862-72D7A7897C49}">
      <text>
        <r>
          <rPr>
            <sz val="9"/>
            <color indexed="81"/>
            <rFont val="Tahoma"/>
            <family val="2"/>
          </rPr>
          <t xml:space="preserve">Es la contribución parafiscal a pagar por la Nación a favor del Servicio Nacional de Aprendizaje (SENA).
</t>
        </r>
      </text>
    </comment>
    <comment ref="AN10" authorId="2" shapeId="0" xr:uid="{DD6EC512-6D68-4ABA-9B9C-399EE021B827}">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O10" authorId="2" shapeId="0" xr:uid="{B668991A-BD8B-4047-9011-B8588E68124B}">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P10" authorId="2" shapeId="0" xr:uid="{4761E693-C696-4EEA-B149-A510D609C1CE}">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43703902-920C-468F-9C60-155D4D406957}">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6E82C583-09C8-4FB1-97C9-4F8170738BE7}">
      <text>
        <r>
          <rPr>
            <sz val="9"/>
            <color indexed="81"/>
            <rFont val="Tahoma"/>
            <family val="2"/>
          </rPr>
          <t xml:space="preserve">Asignación complementaria del sueldo, que se reconoce excepcional a empleados de alto nivel jerárquico de acuerdo con la importancia de la representación que ostentan. </t>
        </r>
        <r>
          <rPr>
            <b/>
            <sz val="9"/>
            <color indexed="81"/>
            <rFont val="Tahoma"/>
            <family val="2"/>
          </rPr>
          <t xml:space="preserve">
</t>
        </r>
      </text>
    </comment>
    <comment ref="G11" authorId="2" shapeId="0" xr:uid="{76650AFD-F4A1-4868-8EA8-55D69F3E67C7}">
      <text>
        <r>
          <rPr>
            <sz val="9"/>
            <color indexed="81"/>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93BEC65B-7CD1-4DE0-97E5-7FA3A075C2B0}">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53199DC2-6D9A-478E-B049-F860B479B883}">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5E718F99-82D8-41AD-A9CE-1B3C770914BA}">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28C03B04-DC61-4A50-8A64-EAC862CB7FA5}">
      <text>
        <r>
          <rPr>
            <sz val="9"/>
            <color indexed="81"/>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F49C746A-452C-4D68-8F59-E17200F1136D}">
      <text>
        <r>
          <rPr>
            <sz val="9"/>
            <color indexed="81"/>
            <rFont val="Tahoma"/>
            <family val="2"/>
          </rPr>
          <t>Corresponde a la remuneración al trabajo suplementario o realizado en horas adicionales a la jornada ordinaria establecida</t>
        </r>
      </text>
    </comment>
    <comment ref="M11" authorId="2" shapeId="0" xr:uid="{25FFB294-2049-4E90-A67C-6C66B2104BFD}">
      <text>
        <r>
          <rPr>
            <sz val="9"/>
            <color indexed="81"/>
            <rFont val="Tahoma"/>
            <family val="2"/>
          </rPr>
          <t>Reconocimiento que otorga la ley a los empleados públicos y los trabajadores oficiales por haber servido durante todo el año civil.</t>
        </r>
      </text>
    </comment>
    <comment ref="N11" authorId="2" shapeId="0" xr:uid="{84064B34-0282-4A2D-9C90-EAE0DE8E968A}">
      <text>
        <r>
          <rPr>
            <sz val="9"/>
            <color indexed="81"/>
            <rFont val="Tahoma"/>
            <family val="2"/>
          </rPr>
          <t>Reconocimiento que otorga la ley a los empleados públicos y los trabajadores oficiales, con el fin de brindarles mayores recursos económicos para gozar del periodo de vacaciones</t>
        </r>
      </text>
    </comment>
    <comment ref="W11" authorId="2" shapeId="0" xr:uid="{7943111D-67F9-4807-B485-5E5ED6CDA640}">
      <text>
        <r>
          <rPr>
            <sz val="9"/>
            <color indexed="81"/>
            <rFont val="Tahoma"/>
            <family val="2"/>
          </rPr>
          <t>Reconocimiento en tiempo libre y en dinero al que tiene derecho todo empleado público o trabajador oficial por haberle servido a la administración pública durante un año.</t>
        </r>
      </text>
    </comment>
    <comment ref="X11" authorId="2" shapeId="0" xr:uid="{DE46A609-A7FF-4812-B570-3B08C6025397}">
      <text>
        <r>
          <rPr>
            <sz val="9"/>
            <color indexed="81"/>
            <rFont val="Tahoma"/>
            <family val="2"/>
          </rPr>
          <t>Corresponde a la compensación en dinero a la que tiene derecho el empleado público o trabajador oficial por vacaciones causadas, pero no disfrutadas.</t>
        </r>
      </text>
    </comment>
    <comment ref="Y11" authorId="2" shapeId="0" xr:uid="{32538953-920C-4179-829B-6D71620AD404}">
      <text>
        <r>
          <rPr>
            <sz val="9"/>
            <color indexed="81"/>
            <rFont val="Tahoma"/>
            <family val="2"/>
          </rPr>
          <t>Corresponde al pago que se les hace a los empleados públicos por cada período de vacaciones.</t>
        </r>
      </text>
    </comment>
    <comment ref="D12" authorId="2" shapeId="0" xr:uid="{AE2F9F14-145D-4914-908F-A4657DB4F886}">
      <text>
        <r>
          <rPr>
            <sz val="9"/>
            <color indexed="81"/>
            <rFont val="Tahoma"/>
            <family val="2"/>
          </rPr>
          <t xml:space="preserve">El sueldo básico mensual debe tener en cuenta el número de cargos por cada grado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C5" authorId="0" shapeId="0" xr:uid="{E054E3F2-5105-45B8-9A73-9D592F294BD6}">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C6" authorId="1" shapeId="0" xr:uid="{C4839E3C-9F15-4902-973C-DDAEDD7F8A74}">
      <text>
        <r>
          <rPr>
            <sz val="9"/>
            <color indexed="81"/>
            <rFont val="Tahoma"/>
            <family val="2"/>
          </rPr>
          <t>El nombre de la unidad ejecutora se desplegará automáticamente después de seleccionar la sección.</t>
        </r>
      </text>
    </comment>
  </commentList>
</comments>
</file>

<file path=xl/sharedStrings.xml><?xml version="1.0" encoding="utf-8"?>
<sst xmlns="http://schemas.openxmlformats.org/spreadsheetml/2006/main" count="1734" uniqueCount="1340">
  <si>
    <t xml:space="preserve">MINISTERIO DE HACIENDA Y CRÉDITO PÚBLICO </t>
  </si>
  <si>
    <t xml:space="preserve">Ingresos corrientes </t>
  </si>
  <si>
    <t>Ingresos no tributarios</t>
  </si>
  <si>
    <t>Contribuciones</t>
  </si>
  <si>
    <t>Venta de bienes y servicios</t>
  </si>
  <si>
    <t>Ventas incidentales de establecimiento no de mercado</t>
  </si>
  <si>
    <t>Transferencias corrientes</t>
  </si>
  <si>
    <t xml:space="preserve">Recursos de capital </t>
  </si>
  <si>
    <t xml:space="preserve">Disposición de activos financieros </t>
  </si>
  <si>
    <t>Rendimientos financieros</t>
  </si>
  <si>
    <t>Transferencias de capital</t>
  </si>
  <si>
    <t>Donaciones</t>
  </si>
  <si>
    <t>Indemnizaciones relacionadas con seguros no de vida</t>
  </si>
  <si>
    <t>Dividendos y utilidades por otras inversiones de capital</t>
  </si>
  <si>
    <t>Ahorro voluntario de los trabajadores</t>
  </si>
  <si>
    <t>Reintegros y otros recursos no apropiados</t>
  </si>
  <si>
    <t>Nivel</t>
  </si>
  <si>
    <t>Concepto</t>
  </si>
  <si>
    <t>Ingresos estimados (t)
1</t>
  </si>
  <si>
    <t>Ingresos estimados (t+1)
2</t>
  </si>
  <si>
    <t>SECCIÓN</t>
  </si>
  <si>
    <t>ANTEPROYECTO DE PRESUPUESTO DE INGRESOS  - VIGENCIA</t>
  </si>
  <si>
    <t>TIPO DE INGRESO REGISTRADO</t>
  </si>
  <si>
    <t>Aportes de la Nación</t>
  </si>
  <si>
    <t>RESUMEN PRESUPUESTO DE INGRESOS</t>
  </si>
  <si>
    <t>Ingresos Corrientes</t>
  </si>
  <si>
    <t>Recursos de Capital</t>
  </si>
  <si>
    <t>MINISTERIO DE HACIENDA Y CRÉDITO PÚBLICO</t>
  </si>
  <si>
    <t xml:space="preserve">CÁLCULO DE LOS INGRESOS CORRIENTES POR PRODUCTO - VIGENCIA </t>
  </si>
  <si>
    <t>Producto</t>
  </si>
  <si>
    <t>Vigencia anterior (t-1)</t>
  </si>
  <si>
    <t>Vigencia en curso (t)</t>
  </si>
  <si>
    <t>Próxima Vigencia (t+1)</t>
  </si>
  <si>
    <t>Unidad de</t>
  </si>
  <si>
    <t>Cantidades</t>
  </si>
  <si>
    <t>Precio</t>
  </si>
  <si>
    <t>Ingreso Año</t>
  </si>
  <si>
    <t>Precio Promedio Unidad</t>
  </si>
  <si>
    <t>Ingreso</t>
  </si>
  <si>
    <t>medida</t>
  </si>
  <si>
    <t>Año</t>
  </si>
  <si>
    <t>Promedio</t>
  </si>
  <si>
    <t>Factor de</t>
  </si>
  <si>
    <t>Cantidad</t>
  </si>
  <si>
    <t>(t+1)</t>
  </si>
  <si>
    <t>Unidad</t>
  </si>
  <si>
    <t>Incremento</t>
  </si>
  <si>
    <t>Base Cero</t>
  </si>
  <si>
    <t>Subtotal producto 1</t>
  </si>
  <si>
    <t>Subtotal producto 2</t>
  </si>
  <si>
    <t>Subtotal producto 3</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</si>
  <si>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</si>
  <si>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</si>
  <si>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</si>
  <si>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</si>
  <si>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</si>
  <si>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</si>
  <si>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Servicios de venta y de distribución; alojamiento; servicios de suministro de comidas y bebidas; servicios de transporte; y servicios de distribución de electricidad, gas y agua</t>
  </si>
  <si>
    <t>Servicios financieros y servicios conexos, servicios inmobiliarios y servicios de leasing</t>
  </si>
  <si>
    <t>Servicios prestados a las empresas y servicios de producción</t>
  </si>
  <si>
    <t>Servicios para la comunidad, sociales y personales</t>
  </si>
  <si>
    <t>Subtotal producto 4</t>
  </si>
  <si>
    <t>Dirección General del Presupuesto Público Nacional</t>
  </si>
  <si>
    <t>Proyectado vigencia en curso (t)</t>
  </si>
  <si>
    <t>Gastos programados (t+1)</t>
  </si>
  <si>
    <t>Vigencias Futuras aprobadas</t>
  </si>
  <si>
    <t>Total</t>
  </si>
  <si>
    <t>3= 1+2</t>
  </si>
  <si>
    <t>6= 4+5</t>
  </si>
  <si>
    <t>9= 7+8</t>
  </si>
  <si>
    <t>Recursos Propios</t>
  </si>
  <si>
    <t>Gastos de personal</t>
  </si>
  <si>
    <t>Planta de personal permanente</t>
  </si>
  <si>
    <t>Salario</t>
  </si>
  <si>
    <t>Contribuciones inherentes a la nómina</t>
  </si>
  <si>
    <t>Adquisición de bienes y servicios</t>
  </si>
  <si>
    <t>Adquisición de activos no financieros</t>
  </si>
  <si>
    <t>Prestaciones sociales relacionadas con el empleo</t>
  </si>
  <si>
    <t>Sentencias y conciliaciones</t>
  </si>
  <si>
    <t>A otras entidades del gobierno general</t>
  </si>
  <si>
    <t>Cuota de fiscalización y auditaje</t>
  </si>
  <si>
    <t>Total Presupuesto de Gastos</t>
  </si>
  <si>
    <t>Recursos Disponibles Para Inversión</t>
  </si>
  <si>
    <t>6=5X4</t>
  </si>
  <si>
    <t>9=7X8</t>
  </si>
  <si>
    <t>11=7X10</t>
  </si>
  <si>
    <t>13=8X12</t>
  </si>
  <si>
    <t>14=11X13</t>
  </si>
  <si>
    <t>15=8X11</t>
  </si>
  <si>
    <t>Derechos económicos por uso de recursos naturales</t>
  </si>
  <si>
    <t>Adquisiciones diferentes de activos</t>
  </si>
  <si>
    <t xml:space="preserve">Disposición de activos </t>
  </si>
  <si>
    <t xml:space="preserve">Disposición de activos no financieros </t>
  </si>
  <si>
    <t>Recuperación de cartera - Préstamos</t>
  </si>
  <si>
    <t xml:space="preserve">SECCIÓN </t>
  </si>
  <si>
    <t xml:space="preserve">UNIDAD EJECUTORA </t>
  </si>
  <si>
    <t>CAJA DE RETIRO DE LAS FUERZAS MILITARES</t>
  </si>
  <si>
    <t>INSTITUTO CASAS FISCALES DEL EJERCITO</t>
  </si>
  <si>
    <t>CLUB MILITAR DE OFICIALES</t>
  </si>
  <si>
    <t>CAJA DE SUELDOS DE RETIRO DE LA POLICIA NACIONAL</t>
  </si>
  <si>
    <t>SUPERINTENDENCIA DE VIGILANCIA Y SEGURIDAD PRIVADA</t>
  </si>
  <si>
    <t>HOSPITAL MILITAR</t>
  </si>
  <si>
    <t>AUTORIDAD NACIONAL DE ACUICULTURA Y PESCA - AUNAP</t>
  </si>
  <si>
    <t>AGENCIA NACIONAL DE TIERRAS - ANT</t>
  </si>
  <si>
    <t>AGENCIA DE DESARROLLO RURAL - ADR</t>
  </si>
  <si>
    <t>INSTITUTO NACIONAL DE VIGILANCIA DE MEDICAMENTOS Y ALIMENTOS - INVIMA</t>
  </si>
  <si>
    <t>SERVICIO GEOLÓGICO COLOMBIANO</t>
  </si>
  <si>
    <t>AGENCIA NACIONAL DE INFRAESTRUCTURA</t>
  </si>
  <si>
    <t>INSTITUTO CARO Y CUERVO</t>
  </si>
  <si>
    <t>SUPERINTENDENCIA DE SOCIEDADES</t>
  </si>
  <si>
    <t>SUPERINTENDENCIA DE INDUSTRIA Y COMERCIO</t>
  </si>
  <si>
    <t>UNIDAD ADMINISTRATIVA ESPECIAL JUNTA CENTRAL CONTADORES</t>
  </si>
  <si>
    <t>CENTRO DE MEMORIA HISTÓRICA</t>
  </si>
  <si>
    <t>Clasificación</t>
  </si>
  <si>
    <t>Ord</t>
  </si>
  <si>
    <t>UNIDAD EJECUTORA</t>
  </si>
  <si>
    <t>Observaciones</t>
  </si>
  <si>
    <t>Cta</t>
  </si>
  <si>
    <t>Subcta</t>
  </si>
  <si>
    <t>Obj gasto</t>
  </si>
  <si>
    <t xml:space="preserve">RECURSOS DEL FONDO ESPECIAL </t>
  </si>
  <si>
    <t>ESAP</t>
  </si>
  <si>
    <t>SENA</t>
  </si>
  <si>
    <t>ICBF</t>
  </si>
  <si>
    <t>COLJUEGOS</t>
  </si>
  <si>
    <t>SUPERINTENDENCIA FINANCIERA DE COLOMBIA</t>
  </si>
  <si>
    <t>ADMINISTRADORA DE LOS RECURSOS DEL SISTEMA GENERAL DE SEGURIDAD SOCIAL EN SALUD - SGSSS - ADRES</t>
  </si>
  <si>
    <t>010101</t>
  </si>
  <si>
    <t>010102</t>
  </si>
  <si>
    <t>020101</t>
  </si>
  <si>
    <t>020900</t>
  </si>
  <si>
    <t>021100</t>
  </si>
  <si>
    <t>021200</t>
  </si>
  <si>
    <t>030101</t>
  </si>
  <si>
    <t>030300</t>
  </si>
  <si>
    <t>032400</t>
  </si>
  <si>
    <t>032500</t>
  </si>
  <si>
    <t>040101</t>
  </si>
  <si>
    <t>040200</t>
  </si>
  <si>
    <t>040300</t>
  </si>
  <si>
    <t>050101</t>
  </si>
  <si>
    <t>050300</t>
  </si>
  <si>
    <t>110101</t>
  </si>
  <si>
    <t>110200</t>
  </si>
  <si>
    <t>110400</t>
  </si>
  <si>
    <t>120101</t>
  </si>
  <si>
    <t>120400</t>
  </si>
  <si>
    <t>120800</t>
  </si>
  <si>
    <t>121000</t>
  </si>
  <si>
    <t>121100</t>
  </si>
  <si>
    <t>130101</t>
  </si>
  <si>
    <t>130117</t>
  </si>
  <si>
    <t>130118</t>
  </si>
  <si>
    <t>130119</t>
  </si>
  <si>
    <t>130800</t>
  </si>
  <si>
    <t>130900</t>
  </si>
  <si>
    <t>131000</t>
  </si>
  <si>
    <t>131200</t>
  </si>
  <si>
    <t>131300</t>
  </si>
  <si>
    <t>131401</t>
  </si>
  <si>
    <t>131500</t>
  </si>
  <si>
    <t>140100</t>
  </si>
  <si>
    <t>150101</t>
  </si>
  <si>
    <t>150102</t>
  </si>
  <si>
    <t>150103</t>
  </si>
  <si>
    <t>150104</t>
  </si>
  <si>
    <t>150105</t>
  </si>
  <si>
    <t>150111</t>
  </si>
  <si>
    <t>150112</t>
  </si>
  <si>
    <t>150300</t>
  </si>
  <si>
    <t>150700</t>
  </si>
  <si>
    <t>150800</t>
  </si>
  <si>
    <t>151000</t>
  </si>
  <si>
    <t>151100</t>
  </si>
  <si>
    <t>151201</t>
  </si>
  <si>
    <t>151600</t>
  </si>
  <si>
    <t>151900</t>
  </si>
  <si>
    <t>152000</t>
  </si>
  <si>
    <t>160101</t>
  </si>
  <si>
    <t>160102</t>
  </si>
  <si>
    <t>170101</t>
  </si>
  <si>
    <t>170106</t>
  </si>
  <si>
    <t>170200</t>
  </si>
  <si>
    <t>171500</t>
  </si>
  <si>
    <t>171600</t>
  </si>
  <si>
    <t>171700</t>
  </si>
  <si>
    <t>171800</t>
  </si>
  <si>
    <t>190101</t>
  </si>
  <si>
    <t>190106</t>
  </si>
  <si>
    <t>190109</t>
  </si>
  <si>
    <t>190110</t>
  </si>
  <si>
    <t>190111</t>
  </si>
  <si>
    <t>190112</t>
  </si>
  <si>
    <t>190114</t>
  </si>
  <si>
    <t>190115</t>
  </si>
  <si>
    <t>190300</t>
  </si>
  <si>
    <t>191000</t>
  </si>
  <si>
    <t>191200</t>
  </si>
  <si>
    <t>191301</t>
  </si>
  <si>
    <t>191302</t>
  </si>
  <si>
    <t>191401</t>
  </si>
  <si>
    <t>191402</t>
  </si>
  <si>
    <t>210101</t>
  </si>
  <si>
    <t>210113</t>
  </si>
  <si>
    <t>210300</t>
  </si>
  <si>
    <t>210900</t>
  </si>
  <si>
    <t>211000</t>
  </si>
  <si>
    <t>211100</t>
  </si>
  <si>
    <t>211200</t>
  </si>
  <si>
    <t>220101</t>
  </si>
  <si>
    <t>220900</t>
  </si>
  <si>
    <t>221000</t>
  </si>
  <si>
    <t>223400</t>
  </si>
  <si>
    <t>223800</t>
  </si>
  <si>
    <t>223900</t>
  </si>
  <si>
    <t>224100</t>
  </si>
  <si>
    <t>224200</t>
  </si>
  <si>
    <t>230101</t>
  </si>
  <si>
    <t>230103</t>
  </si>
  <si>
    <t>230600</t>
  </si>
  <si>
    <t>230900</t>
  </si>
  <si>
    <t>231000</t>
  </si>
  <si>
    <t>240101</t>
  </si>
  <si>
    <t>240200</t>
  </si>
  <si>
    <t>241200</t>
  </si>
  <si>
    <t>241300</t>
  </si>
  <si>
    <t>250101</t>
  </si>
  <si>
    <t>250105</t>
  </si>
  <si>
    <t>250200</t>
  </si>
  <si>
    <t>260101</t>
  </si>
  <si>
    <t>260200</t>
  </si>
  <si>
    <t>270102</t>
  </si>
  <si>
    <t>270103</t>
  </si>
  <si>
    <t>270104</t>
  </si>
  <si>
    <t>270105</t>
  </si>
  <si>
    <t>270108</t>
  </si>
  <si>
    <t>280101</t>
  </si>
  <si>
    <t>280102</t>
  </si>
  <si>
    <t>280200</t>
  </si>
  <si>
    <t>280300</t>
  </si>
  <si>
    <t>290101</t>
  </si>
  <si>
    <t>290200</t>
  </si>
  <si>
    <t>320101</t>
  </si>
  <si>
    <t>320102</t>
  </si>
  <si>
    <t>320104</t>
  </si>
  <si>
    <t>320200</t>
  </si>
  <si>
    <t>320401</t>
  </si>
  <si>
    <t>320800</t>
  </si>
  <si>
    <t>320900</t>
  </si>
  <si>
    <t>321000</t>
  </si>
  <si>
    <t>321100</t>
  </si>
  <si>
    <t>321200</t>
  </si>
  <si>
    <t>321400</t>
  </si>
  <si>
    <t>321500</t>
  </si>
  <si>
    <t>321600</t>
  </si>
  <si>
    <t>321700</t>
  </si>
  <si>
    <t>321800</t>
  </si>
  <si>
    <t>321900</t>
  </si>
  <si>
    <t>322100</t>
  </si>
  <si>
    <t>322200</t>
  </si>
  <si>
    <t>322300</t>
  </si>
  <si>
    <t>322400</t>
  </si>
  <si>
    <t>322600</t>
  </si>
  <si>
    <t>322700</t>
  </si>
  <si>
    <t>322800</t>
  </si>
  <si>
    <t>322900</t>
  </si>
  <si>
    <t>323000</t>
  </si>
  <si>
    <t>323100</t>
  </si>
  <si>
    <t>323200</t>
  </si>
  <si>
    <t>323300</t>
  </si>
  <si>
    <t>323400</t>
  </si>
  <si>
    <t>323500</t>
  </si>
  <si>
    <t>323600</t>
  </si>
  <si>
    <t>323700</t>
  </si>
  <si>
    <t>323800</t>
  </si>
  <si>
    <t>323900</t>
  </si>
  <si>
    <t>330101</t>
  </si>
  <si>
    <t>330400</t>
  </si>
  <si>
    <t>330500</t>
  </si>
  <si>
    <t>330700</t>
  </si>
  <si>
    <t>340101</t>
  </si>
  <si>
    <t>350101</t>
  </si>
  <si>
    <t>350102</t>
  </si>
  <si>
    <t>350104</t>
  </si>
  <si>
    <t>350200</t>
  </si>
  <si>
    <t>350300</t>
  </si>
  <si>
    <t>350400</t>
  </si>
  <si>
    <t>350500</t>
  </si>
  <si>
    <t>360101</t>
  </si>
  <si>
    <t>360107</t>
  </si>
  <si>
    <t>360200</t>
  </si>
  <si>
    <t>361200</t>
  </si>
  <si>
    <t>361300</t>
  </si>
  <si>
    <t>370101</t>
  </si>
  <si>
    <t>370300</t>
  </si>
  <si>
    <t>370400</t>
  </si>
  <si>
    <t>370800</t>
  </si>
  <si>
    <t>370900</t>
  </si>
  <si>
    <t>380100</t>
  </si>
  <si>
    <t>390101</t>
  </si>
  <si>
    <t>400101</t>
  </si>
  <si>
    <t>400102</t>
  </si>
  <si>
    <t>400200</t>
  </si>
  <si>
    <t>410101</t>
  </si>
  <si>
    <t>410400</t>
  </si>
  <si>
    <t>410500</t>
  </si>
  <si>
    <t>410600</t>
  </si>
  <si>
    <t>420101</t>
  </si>
  <si>
    <t>430101</t>
  </si>
  <si>
    <t>321300</t>
  </si>
  <si>
    <t>240106</t>
  </si>
  <si>
    <t>241400</t>
  </si>
  <si>
    <t>241500</t>
  </si>
  <si>
    <t>241600</t>
  </si>
  <si>
    <t>021300</t>
  </si>
  <si>
    <t>150113</t>
  </si>
  <si>
    <t>241700</t>
  </si>
  <si>
    <t>Contribución - Superintendencia de Sociedades</t>
  </si>
  <si>
    <t>CÓD</t>
  </si>
  <si>
    <t>FONDO EMPRENDER</t>
  </si>
  <si>
    <t>FONDO NOTARIAS DECRETO 1672 DE 1997</t>
  </si>
  <si>
    <t>FONDOS INPEC</t>
  </si>
  <si>
    <t>CONTRIBUCIÓN ENTIDADES VIGILADAS CONTRALORIA GENERAL NACION</t>
  </si>
  <si>
    <t>CONTRIBUCIÓN ENTIDADES VIGILADAS SUPERINTENDENCIA SUBSIDIO FAMILIAR</t>
  </si>
  <si>
    <t>FINANCIACION SECTOR JUSTICIA</t>
  </si>
  <si>
    <t>FONDO DE DEFENSA NACIONAL</t>
  </si>
  <si>
    <t>FONDO ESTUPEFACIENTES - MINSALUD</t>
  </si>
  <si>
    <t>FONDOS INTERNOS MINISTERIO DEFENSA</t>
  </si>
  <si>
    <t>FONDOS INTERNOS POLICIA NACIONAL</t>
  </si>
  <si>
    <t>FONDO ROTATORIO DE MINAS Y ENERGÍA</t>
  </si>
  <si>
    <t>ESCUELAS INDUSTRIALES E INSTITUTOS TECNICOS</t>
  </si>
  <si>
    <t>FONDO DE SOLIDARIDAD PENSIONAL</t>
  </si>
  <si>
    <t>COMISION DE REGULACION DE ENERGIA Y GAS</t>
  </si>
  <si>
    <t>COMISION DE REGULACION DE AGUA POTABLE</t>
  </si>
  <si>
    <t>INSTITUTO DE ESTUDIOS DEL MINISTERIO PUBLICO</t>
  </si>
  <si>
    <t>FONDO SALUD FUERZAS MILITARES</t>
  </si>
  <si>
    <t>FONDO DE SALUD POLICIA NACIONAL</t>
  </si>
  <si>
    <t>FONDO COMPENSACION AMBIENTAL</t>
  </si>
  <si>
    <t>PENSIONES EPSA-CVC</t>
  </si>
  <si>
    <t>FONDO SOLIDARIDAD PARA SUBSIDIOS Y REDISTRIBUCION INGRESOS</t>
  </si>
  <si>
    <t>FONDO SEGURIDAD Y CONVIVENCIA CIUDADANA</t>
  </si>
  <si>
    <t>UNIDAD ADMINISTRATIVA ESPECIAL DE COMERCIO EXTERIOR</t>
  </si>
  <si>
    <t>FONDO PARA DEFENSA DE DERECHOS E INTERESES COLECTIVOS</t>
  </si>
  <si>
    <t>FONDO CONSERVACIÓN DE MUSEOS Y TEATROS</t>
  </si>
  <si>
    <t>FONDO RECURSOS MONITOREO Y VIGILANCIA EDUCACION SUPERIOR</t>
  </si>
  <si>
    <t>FONDO FONPET - MAGISTERIO</t>
  </si>
  <si>
    <t>FONDO ESPECIAL COMISION NACIONAL DE BUSQUEDA (ART 18 LEY 971/05)</t>
  </si>
  <si>
    <t>FONDO ESPECIAL CUOTA DE FOMENTO DE GAS NATURAL</t>
  </si>
  <si>
    <t>FONDO ESPECIAL PARA PROGRAMA DE NORMALIZACIÓN DE REDES ELECTRICAS</t>
  </si>
  <si>
    <t>FONDO ESPECIAL REGISTRO UNICO NACIONAL DE TRANSITO - RUNT</t>
  </si>
  <si>
    <t>FONDO ESPECIAL IMPUESTO SOBRE LA RENTA PARA LA EQUIDAD - CREE</t>
  </si>
  <si>
    <t>FONDO NACIONAL DE BOMBEROS DE COLOMBIA</t>
  </si>
  <si>
    <t>FONDO ESPECIAL DE PENSIONES TELECOM, INRAVISIÓN Y TELEASOCIADAS</t>
  </si>
  <si>
    <t>FONDO NACIONAL DE LAS UNIVERSIDADES ESTATALES DE COLOMBIA</t>
  </si>
  <si>
    <t>FONDO DE ENERGÍAS NO CONVENCIONALES Y GESTIÓN EFICIENTE DE LA ENERGÍA</t>
  </si>
  <si>
    <t>UNIDAD ADMINISTRATIVA ESPECIAL DE GESTIÓN DE RESTITUCIÓN DE TIERRAS DESPOJADAS</t>
  </si>
  <si>
    <t>FONDO NACIONAL DE REGALIAS</t>
  </si>
  <si>
    <t>Formulario 2. Anteproyecto Presupuesto de Gastos</t>
  </si>
  <si>
    <t>Base legal/Justificación</t>
  </si>
  <si>
    <t>CONGRESO DE LA REPUBLICA  SENADO GESTION GENERAL</t>
  </si>
  <si>
    <t>CONGRESO DE LA REPUBLICA - CAMARA DE REPRESENTANTES - GESTION GENERAL</t>
  </si>
  <si>
    <t>PRESIDENCIA DE LA REPUBLICA - GESTION GENERAL</t>
  </si>
  <si>
    <t>AGENCIA PRESIDENCIAL DE COOPERACIÓN INTERNACIONAL DE COLOMBIA, APC - COLOMBIA</t>
  </si>
  <si>
    <t>UNIDAD NACIONAL PARA LA GESTIÓN DEL RIESGO DE DESASTRES</t>
  </si>
  <si>
    <t>AGENCIA COLOMBIANA PARA LA REINTEGRACIÓN DE PERSONAS Y GRUPOS ALZADOS EN ARMAS</t>
  </si>
  <si>
    <t>AGENCIA NACIONAL INMOBILIARIA VIRGILIO BARCO VARGAS</t>
  </si>
  <si>
    <t>021400</t>
  </si>
  <si>
    <t>AGENCIA DE RENOVACION DEL TERRITORIO – ART</t>
  </si>
  <si>
    <t>DEPARTAMENTO DE PLANEACION - GESTION GENERAL</t>
  </si>
  <si>
    <t>UNIDAD ADMINISTRATIVA ESPECIAL - AGENCIA NACIONAL DE CONTRATACIÓN PÚBLICA - COLOMBIA COMPRA EFICIENTE.</t>
  </si>
  <si>
    <t>SUPERINTENDENCIA DE SERVICIOS PUBLICOS DOMICILIARIOS</t>
  </si>
  <si>
    <t>DEPARTAMENTO ADMINISTRATIVO NACIONAL DE ESTADISTICA (DANE) - GESTION GENERAL</t>
  </si>
  <si>
    <t>FONDO ROTATORIO DEL DANE</t>
  </si>
  <si>
    <t>INSTITUTO GEOGRAFICO AGUSTIN CODAZZI - IGAC</t>
  </si>
  <si>
    <t>DEPARTAMENTO FUNCION PUBLICA - GESTION GENERAL</t>
  </si>
  <si>
    <t>ESCUELA SUPERIOR DE ADMINISTRACION PUBLICA (ESAP)</t>
  </si>
  <si>
    <t>MINIRELACIONES EXTERIORES - GESTION GENERAL</t>
  </si>
  <si>
    <t>FONDO ROTATORIO DEL MINISTERIO DE RELACIONES EXTERIORES</t>
  </si>
  <si>
    <t>UNIDAD ADMINISTRATIVA ESPECIAL MIGRACION COLOMBIA</t>
  </si>
  <si>
    <t>MINISTERIO DE JUSTICIA Y DEL DERECHO - GESTIÓN GENERAL</t>
  </si>
  <si>
    <t>SUPERINTENDENCIA DE NOTARIADO Y REGISTRO</t>
  </si>
  <si>
    <t>INSTITUTO NACIONAL PENITENCIARIO Y CARCELARIO - INPEC</t>
  </si>
  <si>
    <t>UNIDAD ADMINISTRATIVA ESPECIAL AGENCIA NACIONAL DE DEFENSA JURIDICA DEL ESTADO</t>
  </si>
  <si>
    <t>UNIDAD DE SERVICIOS PENITENCIARIOS Y CARCELARIOS - USPEC</t>
  </si>
  <si>
    <t>MINISTERIO DE HACIENDA Y CREDITO PUBLICO - GESTION GENERAL</t>
  </si>
  <si>
    <t>UNIDAD ADMINISTRATIVA ESPECIAL AGENCIA DEL INSPECTOR GENERAL DE TRIBUTOS, RENTAS Y CONTRIBUCIONES PARAFISCALES – ITRC</t>
  </si>
  <si>
    <t>UNIDAD ADMINISTRATIVA ESPECIAL UNIDAD DE PROYECCIÓN NORMATIVA Y ESTUDIOS DE REGULACIÓN FINANCIERA – URF</t>
  </si>
  <si>
    <t>UNIDAD ADMINISTRATIVA ESPECIAL CONTADURIA GENERAL DE LA NACION</t>
  </si>
  <si>
    <t>SUPERINTENDENCIA DE LA ECONOMIA SOLIDARIA</t>
  </si>
  <si>
    <t>UNIDAD ADMINISTRATIVA ESPECIAL DIRECCION DE IMPUESTOS Y ADUANAS NACIONALES</t>
  </si>
  <si>
    <t>UNIDAD DE INFORMACION Y ANALISIS FINANCIERO</t>
  </si>
  <si>
    <t>UGPPP - GESTION GENERAL</t>
  </si>
  <si>
    <t>FONDO ADAPTACION</t>
  </si>
  <si>
    <t>SERVICIO DE LA DEUDA PUBLICA NACIONAL</t>
  </si>
  <si>
    <t>MINISTERIO DE DEFENSA NACIONAL - GESTION GENERAL</t>
  </si>
  <si>
    <t>MINISTERIO DE DEFENSA NACIONAL - COMANDO GENERAL</t>
  </si>
  <si>
    <t>MINISTERIO DE DEFENSA NACIONAL - EJERCITO</t>
  </si>
  <si>
    <t>MINISTERIO DE DEFENSA NACIONAL - ARMADA</t>
  </si>
  <si>
    <t>MINISTERIO DE DEFENSA NACIONAL - FUERZA AEREA</t>
  </si>
  <si>
    <t>MINISTERIO DE DEFENSA NACIONAL - SALUD</t>
  </si>
  <si>
    <t>MINISTERIO DE DEFENSA NACIONAL - DIRECCION GENERAL MARITIMA - DIMAR</t>
  </si>
  <si>
    <t>MINISTERIO DE DEFENSA NACIONAL DIRECCION CENTRO DE REHABILITACION INCLUSIVA - DCRI</t>
  </si>
  <si>
    <t>DEFENSA CIVIL COLOMBIANA, GUILLERMO LEÓN VALENCIA</t>
  </si>
  <si>
    <t>FONPOLICIA - GESTION GENERAL</t>
  </si>
  <si>
    <t>AGENCIA LOGISTICA DE LAS FUERZAS MILITARES</t>
  </si>
  <si>
    <t>POLICIA NACIONAL - GESTION GENERAL</t>
  </si>
  <si>
    <t>POLICIA NACIONAL - SALUD</t>
  </si>
  <si>
    <t>MINAGRICULTURA - GESTION GENERAL</t>
  </si>
  <si>
    <t>UNIDAD DE PLANIFICACIÓN DE TIERRAS RURALES, ADECUACIÓN DE TIERRAS Y USOS AGROPECUARIOS UPRA</t>
  </si>
  <si>
    <t>INSTITUTO COLOMBIANO AGROPECUARIO (ICA)</t>
  </si>
  <si>
    <t>MINISTERIO DE SALUD Y PROTECCION SOCIAL - GESTIÓN GENERAL</t>
  </si>
  <si>
    <t>MINISTERIO  DE SALUD Y PROTECCION SOCIAL - UNIDAD ADMINISTRATIVA ESPECIAL FONDO NACIONAL DE ESTUPEFACIENTES</t>
  </si>
  <si>
    <t xml:space="preserve">MINISTERIO  DE SALUD Y PROTECCION SOCIAL - INSTITUTO NACIONAL DE CANCEROLOGIA </t>
  </si>
  <si>
    <t>MINISTERIO  DE SALUD Y PROTECCION SOCIAL - SANATORIO DE CONTRATACION</t>
  </si>
  <si>
    <t>MINISTERIO  DE SALUD Y PROTECCION SOCIAL - SANATORIO DE AGUA DE DIOS</t>
  </si>
  <si>
    <t>MINISTERIO  DE SALUD Y PROTECCION SOCIAL - CENTRO DERMATOLOGICO FEDERICO LLERAS ACOSTA</t>
  </si>
  <si>
    <t>DIRECCIÓN DE ADMINISTRACIÓN DE FONDOS DE LA PROTECCIÓN SOCIAL</t>
  </si>
  <si>
    <t>INSTITUTO NACIONAL DE SALUD (INS)</t>
  </si>
  <si>
    <t>SUPERINTENDENCIA NACIONAL DE SALUD</t>
  </si>
  <si>
    <t>FONDO DE PREVISION SOCIAL DEL CONGRESO - PENSIONES</t>
  </si>
  <si>
    <t>FONDO DE PREVISION SOCIAL DEL CONGRESO - CESANTIAS Y VIVIENDA</t>
  </si>
  <si>
    <t xml:space="preserve">FONDO PASIVO SOCIAL DE FERROCARRILES NACIONALES DE COLOMBIA - SALUD </t>
  </si>
  <si>
    <t>FONDO PASIVO SOCIAL DE FERROCARRILES NACIONALES DE COLOMBIA -PENSIONES</t>
  </si>
  <si>
    <t>MINISTERIO DE MINAS Y ENERGIA - GESTION GENERAL</t>
  </si>
  <si>
    <t>MINISTERIO DE MINAS Y ENERGIA - COMISION DE REGULACION DE ENERGIA Y GAS - CREG -</t>
  </si>
  <si>
    <t>UNIDAD DE PLANEACION MINERO ENERGETICA - UPME</t>
  </si>
  <si>
    <t>INSTITUTO DE PLANIFICACION Y PROMOCION DE SOLUCIONES  ENERGETICAS PARA LAS ZONAS NO INTERCONECTADAS -IPSE-</t>
  </si>
  <si>
    <t>AGENCIA NACIONAL DE HIDROCARBUROS - ANH</t>
  </si>
  <si>
    <t>AGENCIA NACIONAL DE MINERÍA - ANM</t>
  </si>
  <si>
    <t>MINISTERIO EDUCACION NACIONAL - GESTION GENERAL</t>
  </si>
  <si>
    <t>INSTITUTO NACIONAL PARA SORDOS (INSOR)</t>
  </si>
  <si>
    <t>INSTITUTO NACIONAL PARA CIEGOS (INCI)</t>
  </si>
  <si>
    <t>ESCUELA TECNOLOGICA INSTITUTO TECNICO CENTRAL</t>
  </si>
  <si>
    <t>INSTITUTO NACIONAL DE FORMACION TECNICA PROFESIONAL DE SAN ANDRES Y PROVIDENCIA</t>
  </si>
  <si>
    <t>INSTITUTO NACIONAL DE FORMACION TECNICA PROFESIONAL DE SAN JUAN DEL CESAR</t>
  </si>
  <si>
    <t>INSTITUTO TOLIMENSE DE FORMACION TECNICA PROFESIONAL</t>
  </si>
  <si>
    <t>INSTITUTO TECNICO NACIONAL DE COMERCIO SIMON RODRIGUEZ DE CALI</t>
  </si>
  <si>
    <t>MINISTERIO DE TECNOLOGIAS DE LA INFORMACION Y LAS COMUNICACIONES - GESTION GENERAL</t>
  </si>
  <si>
    <t>MINISTERIO DE TECNOLOGIAS DE LA INFORMACION Y LAS COMUNICACIONES - UNIDAD ADMINISTRATIVA ESPECIAL COMISION DE REGULACION DE COMUNICACIONES</t>
  </si>
  <si>
    <t>FONDO DE TECNOLOGIAS DE LA INFORMACION Y LAS COMUNICACIONES</t>
  </si>
  <si>
    <t>AGENCIA NACIONAL DEL ESPECTRO - ANE</t>
  </si>
  <si>
    <t>AUTORIDAD NACIONAL DE TELEVISION ANTV</t>
  </si>
  <si>
    <t>MINISTERIO DE TRANSPORTE - GESTION GENERAL</t>
  </si>
  <si>
    <t>MINISTERIO DE TRANSPORTE - CORPORACION AUTONOMA REGIONAL DEL RIO GRANDE DE LA MAGDALENA - CORMAGDALENA</t>
  </si>
  <si>
    <t>INSTITUTO NACIONAL DE VIAS</t>
  </si>
  <si>
    <t>UNIDAD ADMINISTRATIVA ESPECIAL DE LA AERONAUTICA CIVIL</t>
  </si>
  <si>
    <t>UNIDAD DE PLANEACION DEL SECTOR DE INFRAESTRUCTURA DE TRANSPORTE</t>
  </si>
  <si>
    <t>COMISION DE REGULACION DE INFRAESTRUCTURA Y TRANSPORTE</t>
  </si>
  <si>
    <t>AGENCIA NACIONAL DE SEGURIDAD VIAL</t>
  </si>
  <si>
    <t>SUPERINTENDENCIA DE PUERTOS Y TRANSPORTE</t>
  </si>
  <si>
    <t>PROCURADURIA GENERAL DE LA NACIÓN - GESTION GENERAL</t>
  </si>
  <si>
    <t>MINISTERIO PUBLICO - INSTITUTO DE ESTUDIOS DEL MINISTERIO PUBLICO</t>
  </si>
  <si>
    <t>DEFENSORIA DEL PUEBLO</t>
  </si>
  <si>
    <t>CONTRALORIA GRAL. REPUBLICA - GESTION GENERAL</t>
  </si>
  <si>
    <t>FONDO DE BIENESTAR SOCIAL DE LA CONTRALORIA GENERAL DE LA REPUBLICA</t>
  </si>
  <si>
    <t>RAMA JUDICIAL - CONSEJO SUPERIOR DE LA JUDICATURA</t>
  </si>
  <si>
    <t>RAMA JUDICIAL - CORTE SUPREMA DE JUSTICIA</t>
  </si>
  <si>
    <t>RAMA JUDICIAL - CONSEJO DE ESTADO</t>
  </si>
  <si>
    <t>RAMA JUDICIAL - CORTE CONSTITUCIONAL</t>
  </si>
  <si>
    <t>RAMA JUDICIAL - TRIBUNALES Y JUZGADOS</t>
  </si>
  <si>
    <t>REGISTRADURIA NACIONAL DEL ESTADO CIVIL - GESTION GENERAL</t>
  </si>
  <si>
    <t>REGISTRADURIA NACIONAL DEL ESTADO CIVIL - CONSEJO NACIONAL ELECTORAL</t>
  </si>
  <si>
    <t>FONDO ROTATORIO DE LA REGISTRADURIA</t>
  </si>
  <si>
    <t>FONDO SOCIAL DE VIVIENDA DE LA REGISTRADURIA NACIONAL DEL ESTADO CIVIL</t>
  </si>
  <si>
    <t>FISCALIA GENERAL DE LA NACION - GESTION GENERAL</t>
  </si>
  <si>
    <t>INSTITUTO NACIONAL DE MEDICINA LEGAL Y CIENCIAS FORENSES</t>
  </si>
  <si>
    <t>MINISTERIO DE AMBIENTE Y DESARROLLO SOSTENIBLE - GESTION GENERAL</t>
  </si>
  <si>
    <t>PARQUES NACIONALES NATURALES DE COLOMBIA</t>
  </si>
  <si>
    <t>AUTORIDAD NACIONAL DE LICENCIAS AMBIENTALES ANLA</t>
  </si>
  <si>
    <t>INSTITUTO DE HIDROLOGIA, METEOROLOGIA Y ESTUDIOS AMBIENTALES- IDEAM</t>
  </si>
  <si>
    <t>FONAM - GESTION GENERAL</t>
  </si>
  <si>
    <t>CORPORACION AUTONOMA REGIONAL DE LOS VALLES DEL SINU Y SAN JORGE (CVS)</t>
  </si>
  <si>
    <t>CORPORACION AUTONOMA REGIONAL DEL QUINDIO (CRQ)</t>
  </si>
  <si>
    <t>CORPORACION PARA EL DESARROLLO SOSTENIBLE DEL URABA - CORPOURABA</t>
  </si>
  <si>
    <t>CORPORACION AUTONOMA REGIONAL DE CALDAS (CORPOCALDAS)</t>
  </si>
  <si>
    <t>CORPORACION AUTONOMA REGIONAL PARA EL DESARROLLO SOSTENIBLE DEL CHOCO - CODECHOCO</t>
  </si>
  <si>
    <t xml:space="preserve">CORPORACION AUTONOMA REGIONAL PARA LA DEFENSA DE LA MESETA DE BUCARAMANGA CDMB </t>
  </si>
  <si>
    <t>CORPORACION AUTONOMA REGIONAL DEL TOLIMA (CORTOLIMA)</t>
  </si>
  <si>
    <t>CORPORACION AUTONOMA REGIONAL DE RISARALDA (CARDER)</t>
  </si>
  <si>
    <t>CORPORACION AUTONOMA REGIONAL DE NARINO (CORPONARINO)</t>
  </si>
  <si>
    <t>CORPORACION AUTONOMA REGIONAL DE LA FRONTERA NORORIENTAL (CORPONOR)</t>
  </si>
  <si>
    <t>CORPORACION AUTONOMA REGIONAL DE LA GUAJIRA (CORPOGUAJIRA)</t>
  </si>
  <si>
    <t>CORPORACION AUTONOMA REGIONAL DEL CESAR (CORPOCESAR)</t>
  </si>
  <si>
    <t>CORPORACION AUTONOMA REGIONAL DEL CAUCA (CRC)</t>
  </si>
  <si>
    <t>CORPORACION AUTONOMA REGIONAL DEL MAGDALENA (CORPAMAG)</t>
  </si>
  <si>
    <t>CORPORACION PARA EL DESARROLLO SOSTENIBLE DEL SUR DE LA AMAZONIA - CORPOAMAZONIA</t>
  </si>
  <si>
    <t>CORPORACION  PARA EL DESARROLLO SOSTENIBLE DEL NORTE Y ORIENTE DE LA AMAZONIA - CDA</t>
  </si>
  <si>
    <t>CORPORACION PARA EL DESARROLLO SOSTENIBLE DEL ARCHIPIELAGO DE SAN ANDRES, PROVIDENCIA Y SANTA CATALINA - CORALINA</t>
  </si>
  <si>
    <t>CORPORACION PARA EL DESARROLLO SOSTENIBLE DEL AREA DE MANEJO ESPECIAL LA MACARENA - CORMACARENA</t>
  </si>
  <si>
    <t>CORPORACION  PARA EL DESARROLLO SOSTENIBLE DE LA MOJANA Y EL SAN JORGE - CORPOMOJANA</t>
  </si>
  <si>
    <t>CORPORACION AUTONOMA REGIONAL DE LA ORINOQUIA (CORPORINOQUIA)</t>
  </si>
  <si>
    <t>CORPORACION AUTONOMA REGIONAL DE SUCRE (CARSUCRE)</t>
  </si>
  <si>
    <t>CORPORACION AUTONOMA REGIONAL DEL ALTO MAGDALENA (CAM)</t>
  </si>
  <si>
    <t>CORPORACION AUTONOMA REGIONAL DEL CENTRO DE ANTIOQUIA (CORANTIOQUIA)</t>
  </si>
  <si>
    <t>CORPORACION AUTONOMA REGIONAL DEL ATLANTICO - CRA</t>
  </si>
  <si>
    <t>CORPORACION AUTONOMA REGIONAL DE SANTANDER (CAS)</t>
  </si>
  <si>
    <t>CORPORACION AUTONOMA REGIONAL DE BOYACA (CORPOBOYACA)</t>
  </si>
  <si>
    <t>CORPORACION AUTONOMA REGIONAL DE CHIVOR (CORPOCHIVOR)</t>
  </si>
  <si>
    <t>CORPORACION AUTONOMA REGIONAL DEL GUAVIO (CORPOGUAVIO)</t>
  </si>
  <si>
    <t>CORPORACION AUTONOMA REGIONAL DEL CANAL DEL DIQUE (CARDIQUE)</t>
  </si>
  <si>
    <t>CORPORACION AUTONOMA REGIONAL DEL SUR DE BOLIVAR (CSB)</t>
  </si>
  <si>
    <t>MINISTERIO DE CULTURA - GESTION GENERAL</t>
  </si>
  <si>
    <t>ARCHIVO GENERAL DE LA NACION</t>
  </si>
  <si>
    <t>INSTITUTO COLOMBIANO DE ANTROPOLOGIA E HISTORIA</t>
  </si>
  <si>
    <t>AUDITORIA GENERAL DE LA REPUBLICA - GESTION GENERAL</t>
  </si>
  <si>
    <t>MINCOMERCIO INDUSTRIA TURISMO - GESTION GENERAL</t>
  </si>
  <si>
    <t>MINCOMERCIO INDUSTRIA TURISMO - DIRECCION GENERAL DE COMERCIO EXTERIOR</t>
  </si>
  <si>
    <t>MINCOMERCIO INDUSTRIA TURISMO - ARTESANIAS DE COLOMBIA S.A.</t>
  </si>
  <si>
    <t>INSTITUTO NACIONAL DE METROLOGÍA - INM</t>
  </si>
  <si>
    <t>MINISTERIO DEL TRABAJO - GESTION GENERAL</t>
  </si>
  <si>
    <t>MINISTERIO DEL TRABAJO - SUPERINTENDENCIA DE SUBSIDIO FAMILIAR</t>
  </si>
  <si>
    <t>SERVICIO NACIONAL DE APRENDIZAJE (SENA)</t>
  </si>
  <si>
    <t>UNIDAD ADMINISTRATIVA ESPECIAL DE ORGANIZACIONES SOLIDARIAS</t>
  </si>
  <si>
    <t>UNIDAD ADMINISTRATIVA ESPECIAL DEL SERVICIO PUBLICO DE EMPLEO</t>
  </si>
  <si>
    <t>MINISTERIO DEL INTERIOR - GESTIÓN GENERAL</t>
  </si>
  <si>
    <t>DIRECCION NACIONAL DEL DERECHO DE AUTOR</t>
  </si>
  <si>
    <t>CORPORACION NACIONAL PARA LA RECONSTRUCCION DE LA CUENCA DEL RIO PAEZ Y ZONAS ALEDANAS NASA KI WE</t>
  </si>
  <si>
    <t>UNIDAD NACIONAL DE PROTECCION - UNP</t>
  </si>
  <si>
    <t>DIRECCION NACIONAL DE BOMBEROS</t>
  </si>
  <si>
    <t>COMISION NACIONAL DEL SERVICIO CIVIL</t>
  </si>
  <si>
    <t>DEPARTAMENTO ADMINISTRATIVO DE LA CIENCIA, TECNOLOGIA E INNOVACION - GESTION GENERAL</t>
  </si>
  <si>
    <t>MINISTERIO DE VIVIENDA, CIUDAD Y TERRITORIO - GESTIÓN GENERAL</t>
  </si>
  <si>
    <t>COMISION DE REGULACION DE AGUA POTABLE Y SANEAMIENTO BÁSICO CRA</t>
  </si>
  <si>
    <t>FONDO NACIONAL DE VIVIENDA - FONVIVIENDA</t>
  </si>
  <si>
    <t>DEPARTAMENTO ADMINISTRATIVO PARA LA PROSPERIDAD SOCIAL - GESTIÓN GENERAL</t>
  </si>
  <si>
    <t>UNIDAD DE ATENCIÓN Y REPARACIÓN INTEGRAL A LAS VICTIMAS</t>
  </si>
  <si>
    <t>INSTITUTO COLOMBIANO DE BIENESTAR FAMILIAR (ICBF)</t>
  </si>
  <si>
    <t>DEPARTAMENTO ADMINISTRATIVO DIRECCIÓN NACIONAL DE INTELIGENCIA - GESTIÓN GENERAL</t>
  </si>
  <si>
    <t>DEPARTAMENTO ADMINISTRATIVO DEL DEPORTE, LA RECREACIÓN, LA ACTIVIDAD FÍSICA Y EL APROVECHAMIENTO DEL TIEMPO LIBRE – COLDEPORTES - GESTIÓN GENERAL</t>
  </si>
  <si>
    <t>FONDO DE RESTITUCION DE TIERRAS DESPOJADAS</t>
  </si>
  <si>
    <t>Ingresos tributarios</t>
  </si>
  <si>
    <t xml:space="preserve">Impuestos indirectos </t>
  </si>
  <si>
    <t xml:space="preserve">CÓD </t>
  </si>
  <si>
    <t>Impuesto social a las armas y municiones</t>
  </si>
  <si>
    <t>Sobretasa al ACPM</t>
  </si>
  <si>
    <t xml:space="preserve">Contribuciones sociales </t>
  </si>
  <si>
    <t>Contribuciones asignaciones de retiro militares y policía</t>
  </si>
  <si>
    <t>Multas, sanciones e intereses de mora</t>
  </si>
  <si>
    <t>CONTRIBUCIONES DIVERSAS - FE</t>
  </si>
  <si>
    <t>CONTRIBUCIONES DIVERSAS - ESTAPÚBLICO</t>
  </si>
  <si>
    <t>Contribución - Comisión de Regulación de Comunicaciones (CRC)</t>
  </si>
  <si>
    <t>Contribución - Comisión de Regulación de Energía y Gas (CREG)</t>
  </si>
  <si>
    <t>Contribución - Comisión de Regulación de Agua Potable y Saneamiento Básico (CRA)</t>
  </si>
  <si>
    <t>01</t>
  </si>
  <si>
    <t>02</t>
  </si>
  <si>
    <t>03</t>
  </si>
  <si>
    <t>Contribución - Superintendencia de Vigilancia y Seguridad Privada</t>
  </si>
  <si>
    <t>Contribución - Superintendencia de la Economía Solidaria</t>
  </si>
  <si>
    <t>04</t>
  </si>
  <si>
    <t>05</t>
  </si>
  <si>
    <t>06</t>
  </si>
  <si>
    <t>Contribución - Superintendencia del Subsidio Familiar</t>
  </si>
  <si>
    <t>07</t>
  </si>
  <si>
    <t>Contribución de vigilancia - Superintendencia de Industria y Comercio</t>
  </si>
  <si>
    <t>Contribución de seguimiento - Superintendencia de Industria y Comercio</t>
  </si>
  <si>
    <t>Contribución - Superintendencia Financiera de Colombia</t>
  </si>
  <si>
    <t>08</t>
  </si>
  <si>
    <t>09</t>
  </si>
  <si>
    <t>10</t>
  </si>
  <si>
    <t>Contribución - Superintendencia de Servicios Públicos Domiciliarios</t>
  </si>
  <si>
    <t>11</t>
  </si>
  <si>
    <t>Contribución - Fondo de Compensación Ambiental</t>
  </si>
  <si>
    <t xml:space="preserve">Contribución - Fondo Apoyo Financiero Zonas No Interconectadas (FAZNI) </t>
  </si>
  <si>
    <t>Contribución - Fondo Apoyo Financiero para la Energización de las Zonas Rurales Interconectadas (FAER)</t>
  </si>
  <si>
    <t>Contribución - Fondo de Energías No Convencionales y Gestión Eficiente de la Energía (FENOGE)</t>
  </si>
  <si>
    <t>Contribución - Fondo Especial de Energía Social (FOES)</t>
  </si>
  <si>
    <t>Contribución - Fondo Especial Cuota de Fomento de Gas Natural</t>
  </si>
  <si>
    <t>Contribución - Fondo Especial para el programa de Normalización de Redes Eléctricas (Prone)</t>
  </si>
  <si>
    <t>Contribución - Fondo Emprender</t>
  </si>
  <si>
    <t>Contribución - Fondo Nacional de las Universidades Estatales de Colombia</t>
  </si>
  <si>
    <t>Cuota de compensación militar - Fondo de Defensa Nacional</t>
  </si>
  <si>
    <t>Aporte sobre pólizas de seguros - Fondo Nacional de Bomberos de Colombia</t>
  </si>
  <si>
    <t>Arancel judicial - Ley 1394 de 2010</t>
  </si>
  <si>
    <t>Arancel judicial CSJ - Ley 1653 de 2013</t>
  </si>
  <si>
    <t>Arancel judicial - Ley 1743 de 2014</t>
  </si>
  <si>
    <t>Contribución especial arbitral</t>
  </si>
  <si>
    <t>Contribución especial para laudos arbitrales de contenido económico</t>
  </si>
  <si>
    <t>Derecho económico por precios altos</t>
  </si>
  <si>
    <t>Derecho económico por participación en la producción</t>
  </si>
  <si>
    <t>Aporte afiliados al Sistema General de Pensiones - Subcuenta de Solidaridad</t>
  </si>
  <si>
    <t>Aporte afiliados al Sistema General de Pensiones - Subcuenta de Subsistencia</t>
  </si>
  <si>
    <t>Aportes diferenciales - Fondo de Solidaridad Pensional</t>
  </si>
  <si>
    <t>Aporte pensionados - Fondo de Solidaridad Pensional</t>
  </si>
  <si>
    <t>Contribución Nacional de Valorización</t>
  </si>
  <si>
    <t>Contribución cultural a la boletería de los espectáculos públicos</t>
  </si>
  <si>
    <t>Recursos por la explotación de juegos de suerte y azar – Fondo de Investigación en Salud</t>
  </si>
  <si>
    <t>Contribución - Fondo Industria de la Construcción (FIC)</t>
  </si>
  <si>
    <t>Contribución SOAT - Fondo Nacional de Seguridad Vial</t>
  </si>
  <si>
    <t>Contribución - Fondo de Seguridad y Convivencia</t>
  </si>
  <si>
    <t>Contribución Industria Militar – ICFE</t>
  </si>
  <si>
    <t>CONTRIBUCIONES ASOCIADAS A NÓMINA - EP</t>
  </si>
  <si>
    <t>CONTRIBUCIONES ASOCIADAS A NÓMINA -FE</t>
  </si>
  <si>
    <t>Escuelas industriales e institutos técnicos</t>
  </si>
  <si>
    <t>Aportes de cesantías</t>
  </si>
  <si>
    <t>CONTRIBUCIONES ESPECIALES -FE</t>
  </si>
  <si>
    <t>Aporte a la administración de justicia</t>
  </si>
  <si>
    <t>CONTRIBUCIONES SOCIALES- EP</t>
  </si>
  <si>
    <t>CONTRIBUCIONES SOCIALES -FE</t>
  </si>
  <si>
    <t>Salud</t>
  </si>
  <si>
    <t>Expedición de visas</t>
  </si>
  <si>
    <t>Expedición de pasaportes</t>
  </si>
  <si>
    <t>Apostilla o legalización</t>
  </si>
  <si>
    <t>Protocolización de escrituras públicas</t>
  </si>
  <si>
    <t>Expedición de certificaciones en el exterior</t>
  </si>
  <si>
    <t>Certificación sobre la existencia legal de sociedades</t>
  </si>
  <si>
    <t>Reconocimiento y autenticación de firmas ante cónsules colombianos</t>
  </si>
  <si>
    <t>Expedición de tarjetas de registro consular</t>
  </si>
  <si>
    <t>Trámite de nacionalidad colombiana por adopción</t>
  </si>
  <si>
    <t>Trámite de renuncia a la nacionalidad colombiana</t>
  </si>
  <si>
    <t>Expedición de certificados de antepasados de extranjeros nacionalizados como colombianos por adopción</t>
  </si>
  <si>
    <t>Expedición de certificados de no objeción a la permanencia en el exterior de estudiantes colombianos</t>
  </si>
  <si>
    <t>Tasa de inspección y vigilancia - Superintendencia Nacional de Salud</t>
  </si>
  <si>
    <t>Permiso para el uso del espectro radioeléctrico</t>
  </si>
  <si>
    <t>Derecho de ingreso áreas protegidas</t>
  </si>
  <si>
    <t>Expedición de tarjetas de identidad</t>
  </si>
  <si>
    <t>Expedición de certificaciones no sujetas a reserva legal</t>
  </si>
  <si>
    <t>Expedición de bases de datos sujeta a reserva legal</t>
  </si>
  <si>
    <t>Expedición de certificaciones excepcionales de nacionalidad</t>
  </si>
  <si>
    <t>Expedición de certificados de Registro Civil</t>
  </si>
  <si>
    <t>Impresión de publicaciones de la Organización Electoral</t>
  </si>
  <si>
    <t>Venta de licencias de software</t>
  </si>
  <si>
    <t>Expedición de cédula de extranjería</t>
  </si>
  <si>
    <t>Certificación de movimientos migratorios</t>
  </si>
  <si>
    <t>Permisos de ingreso y permanencia en el país</t>
  </si>
  <si>
    <t>Expedición de salvoconductos de permanencia y salida del país</t>
  </si>
  <si>
    <t>Expedición de registros sanitarios</t>
  </si>
  <si>
    <t>Renovación de la capacidad de laboratorios</t>
  </si>
  <si>
    <t>Realización de exámenes de laboratorio</t>
  </si>
  <si>
    <t>Expedición de certificados de registro sanitario</t>
  </si>
  <si>
    <t>12</t>
  </si>
  <si>
    <t>13</t>
  </si>
  <si>
    <t>14</t>
  </si>
  <si>
    <t>15</t>
  </si>
  <si>
    <t>16</t>
  </si>
  <si>
    <t>17</t>
  </si>
  <si>
    <t>18</t>
  </si>
  <si>
    <t>19</t>
  </si>
  <si>
    <t>20</t>
  </si>
  <si>
    <t>21</t>
  </si>
  <si>
    <t>22</t>
  </si>
  <si>
    <t>23</t>
  </si>
  <si>
    <t>24</t>
  </si>
  <si>
    <t>25</t>
  </si>
  <si>
    <t>26</t>
  </si>
  <si>
    <t>27</t>
  </si>
  <si>
    <t>28</t>
  </si>
  <si>
    <t>29</t>
  </si>
  <si>
    <t>30</t>
  </si>
  <si>
    <t>31</t>
  </si>
  <si>
    <t>IMPUESTOS INDIRECTOS -FE</t>
  </si>
  <si>
    <t>Impuesto de remate y adjudicaciones</t>
  </si>
  <si>
    <t>Sobretasa nacional a la gasolina</t>
  </si>
  <si>
    <t>DERECHOS ECONÓMICOS POR USO DE RECURSOS NATURALES- EP</t>
  </si>
  <si>
    <t>DERECHOS ECONÓMICOS POR USO DE RECURSOS NATURALES- FE</t>
  </si>
  <si>
    <t>Derecho económico por uso del subsuelo</t>
  </si>
  <si>
    <t>Concesiones mineras</t>
  </si>
  <si>
    <t>Contraprestaciones portuarias</t>
  </si>
  <si>
    <t>Concesiones parques naturales</t>
  </si>
  <si>
    <t>TRANSFERENCIAS CORRIENTES- EP</t>
  </si>
  <si>
    <t>TRANSFERENCIAS CORRIENTES- FE</t>
  </si>
  <si>
    <t>Prescripción de depósitos judiciales</t>
  </si>
  <si>
    <t>Transferencias de otras unidades de gobierno</t>
  </si>
  <si>
    <t>Recursos por bienes mostrencos y vocaciones hereditarias</t>
  </si>
  <si>
    <t>Recursos por procesos de extinción de dominio</t>
  </si>
  <si>
    <t>Compensación UPC – SSS</t>
  </si>
  <si>
    <t>Pensión</t>
  </si>
  <si>
    <t>Tasas y derechos administrativos</t>
  </si>
  <si>
    <t>Contribuciones especiales</t>
  </si>
  <si>
    <t>Recursos de terceros en consignación</t>
  </si>
  <si>
    <t>FONDO CONTRA LA EXPLOTACIÓN SEXUAL DE MENORES</t>
  </si>
  <si>
    <t>Devolución IVA - Instituciones de Educación Superior</t>
  </si>
  <si>
    <t>Otras unidades de gobierno</t>
  </si>
  <si>
    <t>Compensación UPC- SSS</t>
  </si>
  <si>
    <t>CPC</t>
  </si>
  <si>
    <t>Otros gastos de personal</t>
  </si>
  <si>
    <t>COMPUTADORES PARA EDUCAR</t>
  </si>
  <si>
    <t>FONDO DE PRESTACIONES SOCIALES DEL MAGISTERIO</t>
  </si>
  <si>
    <t>CONTRIBUCIÓN ESPECTÁCULOS PÚBLICOS (ART. 7 LEY 1493 DE 2011)</t>
  </si>
  <si>
    <t>COD</t>
  </si>
  <si>
    <t>Expedición de cédulas de ciudadanía</t>
  </si>
  <si>
    <t>Expedición de información no sujeta a reserva legal</t>
  </si>
  <si>
    <t>Expedición de la tarjeta de movilidad fronteriza</t>
  </si>
  <si>
    <t>Inscripción al sistema de migración automática</t>
  </si>
  <si>
    <t>Verificación migratoria en el sistema PLATINUM</t>
  </si>
  <si>
    <t>32</t>
  </si>
  <si>
    <t>33</t>
  </si>
  <si>
    <t>34</t>
  </si>
  <si>
    <t>35</t>
  </si>
  <si>
    <t>36</t>
  </si>
  <si>
    <t>37</t>
  </si>
  <si>
    <t>38</t>
  </si>
  <si>
    <t>39</t>
  </si>
  <si>
    <t>40</t>
  </si>
  <si>
    <t>41</t>
  </si>
  <si>
    <t>42</t>
  </si>
  <si>
    <t>Peajes</t>
  </si>
  <si>
    <t>Permiso para transporte de carga</t>
  </si>
  <si>
    <t xml:space="preserve">Autorización para el uso de materiales radiactivos y nucleares </t>
  </si>
  <si>
    <t>Evaluación de licencias y trámites ambientales</t>
  </si>
  <si>
    <t>Seguimiento a licencias y trámites ambientales</t>
  </si>
  <si>
    <t xml:space="preserve">Expedición de tarjetas profesionales </t>
  </si>
  <si>
    <t xml:space="preserve">Derechos de registro </t>
  </si>
  <si>
    <t>Autorización para el manejo de sustancias químicas controladas</t>
  </si>
  <si>
    <t>43</t>
  </si>
  <si>
    <t>44</t>
  </si>
  <si>
    <t>45</t>
  </si>
  <si>
    <t>46</t>
  </si>
  <si>
    <t>47</t>
  </si>
  <si>
    <t>48</t>
  </si>
  <si>
    <t>49</t>
  </si>
  <si>
    <t>50</t>
  </si>
  <si>
    <t>51</t>
  </si>
  <si>
    <t>52</t>
  </si>
  <si>
    <t>53</t>
  </si>
  <si>
    <t>54</t>
  </si>
  <si>
    <t>Permiso por tenencia y porte de armas</t>
  </si>
  <si>
    <t>Capacitación en metrología</t>
  </si>
  <si>
    <t>Servicios de asistencia técnica en materia metrológica</t>
  </si>
  <si>
    <t>Calibración y medición metrológica</t>
  </si>
  <si>
    <t>Comercialización de materiales de referencia</t>
  </si>
  <si>
    <t>Comparación interlaboratorios</t>
  </si>
  <si>
    <t>Tasa para la sostenibilidad del RUNT</t>
  </si>
  <si>
    <t>Explotación de las concesiones de televisión</t>
  </si>
  <si>
    <t>Fiscalización y seguimiento a títulos mineros</t>
  </si>
  <si>
    <t>Derechos de aeródromo</t>
  </si>
  <si>
    <t>Tasas aeroportuarias</t>
  </si>
  <si>
    <t>TASAS Y DERECHOS ADMINISTRATIVOS - FE</t>
  </si>
  <si>
    <t>TASAS Y DERECHOS ADMINISTRATIVOS - EP</t>
  </si>
  <si>
    <t>Recursos de la entidad</t>
  </si>
  <si>
    <t>Intereses por préstamos</t>
  </si>
  <si>
    <t>Contribuciones asociadas a la nómina</t>
  </si>
  <si>
    <t xml:space="preserve">Contribuciones diversas </t>
  </si>
  <si>
    <t>TOTAL INGRESOS VIGENCIA</t>
  </si>
  <si>
    <t>Contribución - Fondo de Solidaridad para Subsidios y Redistribución de Ingresos</t>
  </si>
  <si>
    <t xml:space="preserve"> NOMBRE DEL FONDO ESPECIAL</t>
  </si>
  <si>
    <t>FONDO DE PENSIONES FONDO ROTATORIO DE NOTARIADO Y REGISTRO</t>
  </si>
  <si>
    <t>CÓDIGO SIIF</t>
  </si>
  <si>
    <t>Clasificación Central de Producto</t>
  </si>
  <si>
    <t>Ventas de establecimiento de mercado</t>
  </si>
  <si>
    <t>1.02. INGRESOS NO TRIBUTARIOS</t>
  </si>
  <si>
    <t>1.02.1. CONTRIBUCIONES</t>
  </si>
  <si>
    <t>1.02.1.01. Contribuciones sociales</t>
  </si>
  <si>
    <t>1.02.1.02. Contribuciones asociadas a la nómina</t>
  </si>
  <si>
    <t>1.02.1.04. Contribuciones diversas</t>
  </si>
  <si>
    <t>1.02.1.01.01. Salud</t>
  </si>
  <si>
    <t>1.02.1.01.02. Pensión</t>
  </si>
  <si>
    <t>1.02.1.01.03. Contribuciones asignaciones de retiro militares y policía</t>
  </si>
  <si>
    <t>1.02.1.02.01. ICBF</t>
  </si>
  <si>
    <t>1.02.1.02.02. SENA</t>
  </si>
  <si>
    <t>1.02.1.02.03. ESAP</t>
  </si>
  <si>
    <t>CÁLCULO POR INGRESOS CORRIENTES</t>
  </si>
  <si>
    <t>1.02.1.04.04. Contribución - Superintendencia de Sociedades</t>
  </si>
  <si>
    <t>1.02.1.04.05. Contribución - Superintendencia de Vigilancia y Seguridad Privada</t>
  </si>
  <si>
    <t>1.02.1.04.06. Contribución – Superintendencia de la Economía Solidaria</t>
  </si>
  <si>
    <t>1.02.1.04.08. Contribución de vigilancia - Superintendencia de Industria y Comercio</t>
  </si>
  <si>
    <t>1.02.1.04.09. Contribución de seguimiento - Superintendencia de Industria y Comercio</t>
  </si>
  <si>
    <t>1.02.1.04.10. Contribución - Superintendencia Financiera de Colombia</t>
  </si>
  <si>
    <t>1.02.1.04.11. Contribución - Superintendencia de Servicios Públicos Domiciliarios</t>
  </si>
  <si>
    <t>1.02.1.04.23. Contribución pensionados militares y policía</t>
  </si>
  <si>
    <t>1.02.1.04.33. Derecho económico por precios altos</t>
  </si>
  <si>
    <t>1.02.1.04.34. Derecho económico por participación en la producción</t>
  </si>
  <si>
    <t>1.02.1.04.40. Contribución Nacional de Valorización</t>
  </si>
  <si>
    <t>1.02.1.04.45. Contribución Industria Militar - ICFE</t>
  </si>
  <si>
    <t>1.02.2. TASAS Y DERECHOS ADMINISTRATIVOS</t>
  </si>
  <si>
    <t>1.02.2.01. Expedición de visas</t>
  </si>
  <si>
    <t>1.02.2.02. Expedición de pasaportes</t>
  </si>
  <si>
    <t>1.02.2.03. Apostilla o legalización</t>
  </si>
  <si>
    <t>1.02.2.04. Protocolización de escrituras públicas</t>
  </si>
  <si>
    <t xml:space="preserve">1.02.2.05. Expedición de certificaciones en el exterior </t>
  </si>
  <si>
    <t>1.02.2.06. Certificación sobre la existencia legal de sociedades</t>
  </si>
  <si>
    <t>1.02.2.07. Reconocimiento y autenticación de firmas ante cónsules colombianos</t>
  </si>
  <si>
    <t>1.02.2.08. Expedición de tarjetas de registro consular</t>
  </si>
  <si>
    <t>1.02.2.09. Trámite de nacionalidad colombiana por adopción</t>
  </si>
  <si>
    <t>1.02.2.10. Trámite de renuncia a la nacionalidad colombiana</t>
  </si>
  <si>
    <t>1.02.2.11. Expedición de certificados de antepasados de extranjeros nacionalizados como colombianos por adopción</t>
  </si>
  <si>
    <t>1.02.2.12. Expedición de  certificados de no objeción a la permanencia en el exterior de estudiantes colombianos</t>
  </si>
  <si>
    <t>1.02.2.13. Expedición de cédulas de ciudadanía</t>
  </si>
  <si>
    <t>1.02.2.14. Expedición de tarjetas de identidad</t>
  </si>
  <si>
    <t>1.02.2.15. Expedición de certificaciones no sujetas a reserva legal</t>
  </si>
  <si>
    <t>1.02.2.16. Expedición de bases de datos sujeta a reserva legal</t>
  </si>
  <si>
    <t>1.02.2.17. Expedición de certificaciones excepcionales de nacionalidad</t>
  </si>
  <si>
    <t>1.02.2.18. Expedición de certificados de Registro Civil</t>
  </si>
  <si>
    <t>1.02.2.19. Impresión de publicaciones de la Organización Electoral</t>
  </si>
  <si>
    <t>1.02.2.20. Venta de licencias de software</t>
  </si>
  <si>
    <t>1.02.2.21. Expedición de cédulas de extranjería</t>
  </si>
  <si>
    <t>1.02.2.22. Certificación de movimientos migratorios</t>
  </si>
  <si>
    <t>1.02.2.23. Permisos de ingreso y permanencia en el país</t>
  </si>
  <si>
    <t>1.02.2.24. Expedición de salvoconductos de permanencia y salida del país</t>
  </si>
  <si>
    <t>1.02.2.25. Expedición de información no sujeta a reserva legal</t>
  </si>
  <si>
    <t>1.02.2.26. Expedición de la tarjeta de movilidad fronteriza</t>
  </si>
  <si>
    <t>1.02.2.27. Inscripción al sistema de migración automática</t>
  </si>
  <si>
    <t>1.02.2.28. Verificación migratoria en el sistema PLATINUM</t>
  </si>
  <si>
    <t>1.02.2.29. Expedición de registros sanitarios</t>
  </si>
  <si>
    <t>1.02.2.30. Renovación de la capacidad de laboratorios</t>
  </si>
  <si>
    <t>1.02.2.31. Realización de exámenes de laboratorio</t>
  </si>
  <si>
    <t>1.02.2.32. Expedición de certificados de registro sanitario</t>
  </si>
  <si>
    <t>1.02.2.33. Peajes</t>
  </si>
  <si>
    <t>1.02.2.34. Permiso para transporte de carga</t>
  </si>
  <si>
    <t>1.02.2.35. Autorización para el uso de materiales radiactivos y nucleares</t>
  </si>
  <si>
    <t>1.02.2.36. Evaluación de licencias y trámites ambientales</t>
  </si>
  <si>
    <t>1.02.2.37. Seguimiento a licencias y trámites ambientales</t>
  </si>
  <si>
    <t>1.02.2.38. Tasa de inspección y vigilancia – Superintendencia Nacional de Salud</t>
  </si>
  <si>
    <t>1.02.2.39. Expedición de tarjetas profesionales</t>
  </si>
  <si>
    <t>1.02.2.40. Derechos de registro</t>
  </si>
  <si>
    <t>1.02.2.42. Permiso para el uso del espectro radioeléctrico</t>
  </si>
  <si>
    <t>1.02.2.43. Permiso por tenencia y porte de armas</t>
  </si>
  <si>
    <t>1.02.2.44. Derecho de ingreso áreas protegidas</t>
  </si>
  <si>
    <t>1.02.2.45. Servicios de asistencia técnica en materia metrológica</t>
  </si>
  <si>
    <t>1.02.2.46. Capacitación en metrología</t>
  </si>
  <si>
    <t>1.02.2.47. Calibración y medición metrológica</t>
  </si>
  <si>
    <t>1.02.2.48. Comparación interlaboratorios</t>
  </si>
  <si>
    <t>1.02.2.49. Comercialización de materiales de referencia</t>
  </si>
  <si>
    <t>1.02.2.51. Explotación de las concesiones de televisión</t>
  </si>
  <si>
    <t>1.02.2.53. Derechos de aeródromo</t>
  </si>
  <si>
    <t xml:space="preserve">1.02.2.54. Tasas aeroportuarias </t>
  </si>
  <si>
    <t xml:space="preserve">1.02.3. MULTAS, SANCIONES E INTERESES DE MORA </t>
  </si>
  <si>
    <t>1.02.3.01. Multas y sanciones</t>
  </si>
  <si>
    <t>1.02.3.02. Intereses de mora</t>
  </si>
  <si>
    <t>MULTAS Y SANCIONES - ESTAPÚBLICO</t>
  </si>
  <si>
    <t>1.02.4. DERECHOS ECONÓMICOS POR USO DE RECURSOS NATURALES</t>
  </si>
  <si>
    <t>1.02.4.01. Derecho económico por uso del subsuelo</t>
  </si>
  <si>
    <t>1.02.4.02. Concesiones mineras</t>
  </si>
  <si>
    <t>1.02.4.03. Contraprestaciones portuarias</t>
  </si>
  <si>
    <t>1.02.4.05. Concesiones parques naturales</t>
  </si>
  <si>
    <t>1.02.5. VENTA DE BIENES Y SERVICIOS</t>
  </si>
  <si>
    <t>1.02.5.01. Ventas de establecimiento de mercado</t>
  </si>
  <si>
    <t>1.02.5.02. Ventas incidentales de establecimiento no de mercado</t>
  </si>
  <si>
    <t>1.02.6. TRANSFERENCIAS CORRIENTES</t>
  </si>
  <si>
    <t>1.02.6.01. Indemnizaciones relacionadas con seguros no de vida</t>
  </si>
  <si>
    <t>1.02.6.02. Sentencias y conciliaciones</t>
  </si>
  <si>
    <t>1.02.6.03. Prescripción de depósitos judiciales</t>
  </si>
  <si>
    <t>1.02.6.05. Transferencias de otras unidades de gobierno</t>
  </si>
  <si>
    <t>1.02.6.06. Recursos de terceros en consignación</t>
  </si>
  <si>
    <t>1.02.6.07. Recursos por bienes mostrencos y vocaciones hereditarias</t>
  </si>
  <si>
    <t>1.02.6.08. Recursos por procesos de extinción de dominio</t>
  </si>
  <si>
    <t>1.02.6.09. Compensación UPC – SSS</t>
  </si>
  <si>
    <t>1.02.6.04. Devolución IVA - Instituciones de educación superior</t>
  </si>
  <si>
    <t>1.01. INGRESOS TRIBUTARIOS</t>
  </si>
  <si>
    <t>1.01.2. IMPUESTOS INDIRECTOS</t>
  </si>
  <si>
    <t>1.01.2.10. Impuesto social a las armas y municiones</t>
  </si>
  <si>
    <t>1.01.2.11. Impuesto de remate y adjudicaciones</t>
  </si>
  <si>
    <t>1.01.2.12. Sobretasa nacional a la gasolina</t>
  </si>
  <si>
    <t>1.01.2.13. Sobretasa al ACPM</t>
  </si>
  <si>
    <t>1.02.1.02.04. Escuelas industriales e institutos técnicos</t>
  </si>
  <si>
    <t>1.02.1.03.01. Cuota de fiscalización y auditaje</t>
  </si>
  <si>
    <t>1.02.1.03.02. Aporte a la administración de justicia</t>
  </si>
  <si>
    <t>1.02.1.03. Contribuciones especiales</t>
  </si>
  <si>
    <t xml:space="preserve">1.02.1.04.01. Contribución - Comisión de Regulación de Comunicaciones (CRC) </t>
  </si>
  <si>
    <t>1.02.1.04.02. Contribución - Comisión de Regulación de Energía y Gas (CREG)</t>
  </si>
  <si>
    <t>1.02.1.04.03. Contribución - Comisión de Regulación de Agua Potable y Saneamiento Básico (CRA)</t>
  </si>
  <si>
    <t>1.02.1.04.07. Contribución - Superintendencia del Subsidio Familiar</t>
  </si>
  <si>
    <t>1.02.1.04.12. Contribución - Superintendencia de Puertos y Transporte</t>
  </si>
  <si>
    <t>1.02.1.04.13. Contribución - Fondo de Compensación Ambiental</t>
  </si>
  <si>
    <t xml:space="preserve">1.02.1.04.14. Contribución - Fondo Apoyo Financiero Zonas No Interconectadas (FAZNI) </t>
  </si>
  <si>
    <t>1.02.1.04.15. Contribución - Fondo Apoyo Financiero para la Energización de las Zonas Rurales Interconectadas (FAER)</t>
  </si>
  <si>
    <t>1.02.1.04.16. Contribución - Fondo de Energías No Convencionales y Gestión Eficiente de la Energía (FENOGE)</t>
  </si>
  <si>
    <t>1.02.1.04.17. Contribución - Fondo Especial de Energía Social (FOES)</t>
  </si>
  <si>
    <t>1.02.1.04.18. Contribución - Fondo Especial Cuota de Fomento de Gas Natural</t>
  </si>
  <si>
    <t>1.02.1.04.19. Contribución - Fondo Especial para el programa de Normalización de Redes Eléctricas (Prone)</t>
  </si>
  <si>
    <t>1.02.1.04.20. Contribución – Fondo de Solidaridad para Subsidios y Redistribución de Ingresos</t>
  </si>
  <si>
    <t>1.02.1.04.21. Contribución - Fondo Emprender</t>
  </si>
  <si>
    <t>1.02.1.04.22. Contribución – Fondo Nacional de las Universidades Estatales de Colombia</t>
  </si>
  <si>
    <t>1.02.1.04.24. Cuota de compensación militar - Fondo de Defensa Nacional</t>
  </si>
  <si>
    <t>1.02.1.04.25. Aporte sobre pólizas de seguros - Fondo Nacional de Bomberos de Colombia</t>
  </si>
  <si>
    <t>1.02.1.04.27. Arancel judicial - Ley 1394 de 2010</t>
  </si>
  <si>
    <t>1.02.1.04.29. Arancel judicial - Ley 1743 de 2014</t>
  </si>
  <si>
    <t>1.02.1.04.30. Contribución especial arbitral</t>
  </si>
  <si>
    <t>1.02.1.04.28. Arancel judicial CSJ - Ley 1653 de 2013</t>
  </si>
  <si>
    <t>1.02.1.04.31. Contribución especial para laudos arbitrales de contenido económico</t>
  </si>
  <si>
    <t>1.02.1.04.36. Aporte afiliados al Sistema General de Pensiones - Subcuenta de Solidaridad</t>
  </si>
  <si>
    <t>1.02.1.04.37. Aporte afiliados al Sistema General de Pensiones - Subcuenta de Subsistencia</t>
  </si>
  <si>
    <t>1.02.1.04.38. Aportes diferenciales - Fondo de Solidaridad Pensional</t>
  </si>
  <si>
    <t>1.02.1.04.39. Aporte pensionados - Fondo de Solidaridad Pensional</t>
  </si>
  <si>
    <t>1.02.1.04.41. Contribución cultural a la boletería de los espectáculos públicos</t>
  </si>
  <si>
    <t>1.02.1.04.42. Recursos por la explotación de juegos de suerte y azar – Fondo de Investigación en Salud</t>
  </si>
  <si>
    <t>1.02.1.04.43. Contribución - Fondo Industria de la Construcción (FIC)</t>
  </si>
  <si>
    <t>1.02.1.04.44. Contribución SOAT - Fondo Nacional de Seguridad Vial</t>
  </si>
  <si>
    <t>1.02.1.04.46. Contribución - Fondo de Seguridad y Convivencia</t>
  </si>
  <si>
    <t xml:space="preserve"> </t>
  </si>
  <si>
    <t>1.02.2.50. Tasa para la sostenibilidad del RUNT</t>
  </si>
  <si>
    <t>1.02.2.52. Fiscalización y seguimiento a títulos mineros</t>
  </si>
  <si>
    <t>1.02.2.41. Autorización para el manejo de sustancias químicas controladas</t>
  </si>
  <si>
    <t>1.02.1.02.05. Aportes de cesantías</t>
  </si>
  <si>
    <t>Formulario 3. Clasificación económica de los gastos de funcionamiento</t>
  </si>
  <si>
    <t>CLASIFICADOR PRESUPUESTAL</t>
  </si>
  <si>
    <t>CLASIFICADOR ECONÓMICO</t>
  </si>
  <si>
    <t>A</t>
  </si>
  <si>
    <t>FUENTE FINANCIACIÓN</t>
  </si>
  <si>
    <t>GASTOS</t>
  </si>
  <si>
    <t>ACTIVOS NO FINANCIEROS</t>
  </si>
  <si>
    <t>ACTIVOS FINANCIEROS</t>
  </si>
  <si>
    <t>CONCEPTO</t>
  </si>
  <si>
    <r>
      <t xml:space="preserve">VALOR CLASIFICADOR        </t>
    </r>
    <r>
      <rPr>
        <b/>
        <sz val="8"/>
        <color indexed="8"/>
        <rFont val="Arial"/>
        <family val="2"/>
      </rPr>
      <t>APORTES NACIÓN</t>
    </r>
  </si>
  <si>
    <r>
      <t xml:space="preserve">VALOR CLASIFICADOR  </t>
    </r>
    <r>
      <rPr>
        <b/>
        <sz val="8"/>
        <color indexed="8"/>
        <rFont val="Arial"/>
        <family val="2"/>
      </rPr>
      <t>RECURSOS PROPIOS</t>
    </r>
  </si>
  <si>
    <t>REMUNERACIÓN A LOS EMPLEADOS</t>
  </si>
  <si>
    <t>COMPRA DE BIENES Y SERVICIOS</t>
  </si>
  <si>
    <t>INTERESES</t>
  </si>
  <si>
    <t>SUBSIDIOS</t>
  </si>
  <si>
    <t>DONACIONES</t>
  </si>
  <si>
    <t>PRESTACIONES SOCIALES</t>
  </si>
  <si>
    <t>OTROS GASTOS</t>
  </si>
  <si>
    <t>ACTIVOS FIJOS</t>
  </si>
  <si>
    <t>EXISTENCIAS</t>
  </si>
  <si>
    <t>OBJETOS DE VALOR
Y
ACTIVOS NO PRODUCIDOS</t>
  </si>
  <si>
    <t>ADQUISICIÓN ACTIVOS FINANCIEROS</t>
  </si>
  <si>
    <t>GASTOS DE FUNCIONAMIENTO</t>
  </si>
  <si>
    <t xml:space="preserve">          GASTOS DE PERSONAL</t>
  </si>
  <si>
    <t xml:space="preserve">          ADQUISICIÓN DE BIENES  Y SERVICIOS</t>
  </si>
  <si>
    <t xml:space="preserve">          TRANSFERENCIAS CORRIENTES</t>
  </si>
  <si>
    <t xml:space="preserve">            TRANSFERENCIA DE CAPITAL</t>
  </si>
  <si>
    <t xml:space="preserve">          GASTOS DE COMERCIALIZACIÓN Y PRODUCCIÓN</t>
  </si>
  <si>
    <t xml:space="preserve">          ADQUISICIÓN DE ACTIVOS FINANCIEROS</t>
  </si>
  <si>
    <t xml:space="preserve">          DISMINUCIÓN DE PASIVOS</t>
  </si>
  <si>
    <t>ANTEPROYECTO CLASIFICACIÓN ECONÓMICA DE LOS GASTOS DE FUNCIONAMIENTO - VIGENCIA</t>
  </si>
  <si>
    <r>
      <t xml:space="preserve">VALOR CLASIFICADOR POR OBJETO
</t>
    </r>
    <r>
      <rPr>
        <b/>
        <sz val="8"/>
        <color indexed="8"/>
        <rFont val="Arial"/>
        <family val="2"/>
      </rPr>
      <t>TOTAL</t>
    </r>
  </si>
  <si>
    <r>
      <rPr>
        <sz val="8"/>
        <color indexed="8"/>
        <rFont val="Arial"/>
        <family val="2"/>
      </rPr>
      <t xml:space="preserve">VALOR CLASIFICADOR ECONÓMICO
</t>
    </r>
    <r>
      <rPr>
        <b/>
        <sz val="8"/>
        <color indexed="8"/>
        <rFont val="Arial"/>
        <family val="2"/>
      </rPr>
      <t xml:space="preserve">TOTAL </t>
    </r>
  </si>
  <si>
    <t xml:space="preserve">          TRIBUTOS, MULTAS, SANCIONES E INTERESES DE  MORA</t>
  </si>
  <si>
    <t>02.01</t>
  </si>
  <si>
    <t>02.02</t>
  </si>
  <si>
    <t>B</t>
  </si>
  <si>
    <t>C</t>
  </si>
  <si>
    <t>D</t>
  </si>
  <si>
    <t>E</t>
  </si>
  <si>
    <t>F</t>
  </si>
  <si>
    <t>G</t>
  </si>
  <si>
    <t>H</t>
  </si>
  <si>
    <t>I</t>
  </si>
  <si>
    <t>J</t>
  </si>
  <si>
    <t>K</t>
  </si>
  <si>
    <t>L</t>
  </si>
  <si>
    <t>M</t>
  </si>
  <si>
    <t>N</t>
  </si>
  <si>
    <t>P</t>
  </si>
  <si>
    <t>Q</t>
  </si>
  <si>
    <t>O</t>
  </si>
  <si>
    <t>INSTRUCCIONES</t>
  </si>
  <si>
    <t>La tarea consiste en desagregar el monto presupuestal, en todos y cada uno de los conceptos del clasificador económico.</t>
  </si>
  <si>
    <t>El monto presupuestal se debe incluir en las columnas C o D.</t>
  </si>
  <si>
    <t>Al final del ejercicio, los valores de las columnas E y Q, deben ser iguales.</t>
  </si>
  <si>
    <r>
      <t xml:space="preserve">El concepto económico </t>
    </r>
    <r>
      <rPr>
        <b/>
        <sz val="8"/>
        <color indexed="8"/>
        <rFont val="Arial"/>
        <family val="2"/>
      </rPr>
      <t xml:space="preserve">Donaciones </t>
    </r>
    <r>
      <rPr>
        <sz val="8"/>
        <color indexed="8"/>
        <rFont val="Arial"/>
        <family val="2"/>
      </rPr>
      <t xml:space="preserve">son transferencias sin contrapartida, total o parcial, </t>
    </r>
    <r>
      <rPr>
        <b/>
        <sz val="8"/>
        <color indexed="8"/>
        <rFont val="Arial"/>
        <family val="2"/>
      </rPr>
      <t>a otras unidades</t>
    </r>
    <r>
      <rPr>
        <sz val="8"/>
        <color indexed="8"/>
        <rFont val="Arial"/>
        <family val="2"/>
      </rPr>
      <t xml:space="preserve"> de gobierno o a organismos internacionales y que no cumplen ocn la definición de impuesto, subsidio o contribución social.</t>
    </r>
  </si>
  <si>
    <t>El formulario presenta los conceptos de los gastos de funcionamiento desde el punto de vista presupuestal, columna B - Filas 15-34, y económico, columnas F-P, Filas 11 y 13.</t>
  </si>
  <si>
    <t>El monto económico se debe incluir en las columnas F, G, H, I, J, k ó L si corresponden a gastos propiamente dichos, en las columnas M, N u O si corresponde su uso a la adquisición de activos no financieros, o finalmente en la columna P si se trata de la adquisición de un activo financiero.</t>
  </si>
  <si>
    <r>
      <t xml:space="preserve">Los </t>
    </r>
    <r>
      <rPr>
        <b/>
        <sz val="8"/>
        <color indexed="8"/>
        <rFont val="Arial"/>
        <family val="2"/>
      </rPr>
      <t>Gastos de personal</t>
    </r>
    <r>
      <rPr>
        <sz val="8"/>
        <color indexed="8"/>
        <rFont val="Arial"/>
        <family val="2"/>
      </rPr>
      <t xml:space="preserve"> se refieren a los pagos realizados a un servidor público y que surgen de la relación empleador- empleado.</t>
    </r>
  </si>
  <si>
    <r>
      <t xml:space="preserve">Las </t>
    </r>
    <r>
      <rPr>
        <b/>
        <sz val="8"/>
        <color indexed="8"/>
        <rFont val="Arial"/>
        <family val="2"/>
      </rPr>
      <t>Transferencias corrientes</t>
    </r>
    <r>
      <rPr>
        <sz val="8"/>
        <color indexed="8"/>
        <rFont val="Arial"/>
        <family val="2"/>
      </rPr>
      <t xml:space="preserve"> son efectuadas con base legal por las entidades, sin recibir a cambio ningún bien, servicio o activo como contrapartida directa. Incluye las subvenciones, prestaciones sociales, las sentencias y conciliaciones, entre otros conceptos.</t>
    </r>
  </si>
  <si>
    <r>
      <t xml:space="preserve">Las </t>
    </r>
    <r>
      <rPr>
        <b/>
        <sz val="8"/>
        <color indexed="8"/>
        <rFont val="Arial"/>
        <family val="2"/>
      </rPr>
      <t>Transferencias de capital</t>
    </r>
    <r>
      <rPr>
        <sz val="8"/>
        <color indexed="8"/>
        <rFont val="Arial"/>
        <family val="2"/>
      </rPr>
      <t>, a diferencia de las corrientes, condicionan al receptor a la adquisición de un activo o al pago de un pasivo.</t>
    </r>
  </si>
  <si>
    <r>
      <t xml:space="preserve">Los </t>
    </r>
    <r>
      <rPr>
        <b/>
        <sz val="8"/>
        <color indexed="8"/>
        <rFont val="Arial"/>
        <family val="2"/>
      </rPr>
      <t>Gastos de comercialización y producción</t>
    </r>
    <r>
      <rPr>
        <sz val="8"/>
        <color indexed="8"/>
        <rFont val="Arial"/>
        <family val="2"/>
      </rPr>
      <t xml:space="preserve"> contienen los insumos necesario para realización de estas actividades por la entidad</t>
    </r>
  </si>
  <si>
    <r>
      <t xml:space="preserve">La </t>
    </r>
    <r>
      <rPr>
        <b/>
        <sz val="8"/>
        <color indexed="8"/>
        <rFont val="Arial"/>
        <family val="2"/>
      </rPr>
      <t>Adquisición de bienes y servicios</t>
    </r>
    <r>
      <rPr>
        <sz val="8"/>
        <color indexed="8"/>
        <rFont val="Arial"/>
        <family val="2"/>
      </rPr>
      <t xml:space="preserve"> corresponde a los necesarios para el cumplimiento de las funciones de la entidad. 
La</t>
    </r>
    <r>
      <rPr>
        <b/>
        <sz val="8"/>
        <color indexed="8"/>
        <rFont val="Arial"/>
        <family val="2"/>
      </rPr>
      <t xml:space="preserve"> Adquisición de activos no financieros</t>
    </r>
    <r>
      <rPr>
        <sz val="8"/>
        <color indexed="8"/>
        <rFont val="Arial"/>
        <family val="2"/>
      </rPr>
      <t xml:space="preserve"> incluye activos fijos, objetos de valor y activos no producidos;
Las </t>
    </r>
    <r>
      <rPr>
        <b/>
        <sz val="8"/>
        <color indexed="8"/>
        <rFont val="Arial"/>
        <family val="2"/>
      </rPr>
      <t>Adquisiciones diferentes de activos</t>
    </r>
    <r>
      <rPr>
        <sz val="8"/>
        <color indexed="8"/>
        <rFont val="Arial"/>
        <family val="2"/>
      </rPr>
      <t xml:space="preserve"> incluyen la compra de materiales y suministros y la adquisición de servicios.</t>
    </r>
  </si>
  <si>
    <r>
      <t xml:space="preserve">La </t>
    </r>
    <r>
      <rPr>
        <b/>
        <sz val="8"/>
        <color indexed="8"/>
        <rFont val="Arial"/>
        <family val="2"/>
      </rPr>
      <t>Disminución de pasivos</t>
    </r>
    <r>
      <rPr>
        <sz val="8"/>
        <color indexed="8"/>
        <rFont val="Arial"/>
        <family val="2"/>
      </rPr>
      <t xml:space="preserve"> corresponde a obligaciones de gasto sustentadas en el recaudo previo de los recursos. Incluye cesantías, devolución del ahorro voluntario de los trabajadores y de depósitos en prenda.</t>
    </r>
  </si>
  <si>
    <r>
      <t xml:space="preserve">Los </t>
    </r>
    <r>
      <rPr>
        <b/>
        <sz val="8"/>
        <color indexed="8"/>
        <rFont val="Arial"/>
        <family val="2"/>
      </rPr>
      <t>Tributos, multas, sanciones e intereses de mora</t>
    </r>
    <r>
      <rPr>
        <sz val="8"/>
        <color indexed="8"/>
        <rFont val="Arial"/>
        <family val="2"/>
      </rPr>
      <t xml:space="preserve"> incluyen los pagos por impuestos, contribuciones, estampillas y tasas y derechos administrativos.</t>
    </r>
  </si>
  <si>
    <t>Gastos</t>
  </si>
  <si>
    <r>
      <t xml:space="preserve">El concepto económico </t>
    </r>
    <r>
      <rPr>
        <b/>
        <sz val="8"/>
        <color indexed="8"/>
        <rFont val="Arial"/>
        <family val="2"/>
      </rPr>
      <t>Remuneraciones</t>
    </r>
    <r>
      <rPr>
        <sz val="8"/>
        <color indexed="8"/>
        <rFont val="Arial"/>
        <family val="2"/>
      </rPr>
      <t xml:space="preserve"> se refiere a los pagos realizados a una persona y que surgen de la relación empleador- empleado. Incluye los sueldos y salarios, y las contribuciones sociales.</t>
    </r>
  </si>
  <si>
    <r>
      <t xml:space="preserve">El concepto económico </t>
    </r>
    <r>
      <rPr>
        <b/>
        <sz val="8"/>
        <color indexed="8"/>
        <rFont val="Arial"/>
        <family val="2"/>
      </rPr>
      <t>Intereses</t>
    </r>
    <r>
      <rPr>
        <sz val="8"/>
        <color indexed="8"/>
        <rFont val="Arial"/>
        <family val="2"/>
      </rPr>
      <t xml:space="preserve"> hace referencia a los gastos en que incurre la entidad por utilizar recursos obtenidos en préstamo.</t>
    </r>
  </si>
  <si>
    <r>
      <t xml:space="preserve">El concepto económico </t>
    </r>
    <r>
      <rPr>
        <b/>
        <sz val="8"/>
        <color indexed="8"/>
        <rFont val="Arial"/>
        <family val="2"/>
      </rPr>
      <t xml:space="preserve">Subsidios </t>
    </r>
    <r>
      <rPr>
        <sz val="8"/>
        <color indexed="8"/>
        <rFont val="Arial"/>
        <family val="2"/>
      </rPr>
      <t xml:space="preserve">hace referencia a transferencias sin contrapartida, total o parcial, que se hacen a las </t>
    </r>
    <r>
      <rPr>
        <b/>
        <sz val="8"/>
        <color indexed="8"/>
        <rFont val="Arial"/>
        <family val="2"/>
      </rPr>
      <t>empresas</t>
    </r>
    <r>
      <rPr>
        <sz val="8"/>
        <color indexed="8"/>
        <rFont val="Arial"/>
        <family val="2"/>
      </rPr>
      <t xml:space="preserve"> en función de los niveles de actividad productiva o de los precios de los bienes y servicios que producen, venden, exportan o importan.</t>
    </r>
  </si>
  <si>
    <r>
      <t xml:space="preserve">El concepto económico </t>
    </r>
    <r>
      <rPr>
        <b/>
        <sz val="8"/>
        <color indexed="8"/>
        <rFont val="Arial"/>
        <family val="2"/>
      </rPr>
      <t>Compra de bienes y servicios</t>
    </r>
    <r>
      <rPr>
        <sz val="8"/>
        <color indexed="8"/>
        <rFont val="Arial"/>
        <family val="2"/>
      </rPr>
      <t xml:space="preserve"> comprende los utilizados por la entidad para desarrollar su objeto misional. No incluye los activos fijos, los que adquiera y distribuya sin transformación, los que adquiere para formación de capital por cuenta propia ni los objetos de valor.</t>
    </r>
  </si>
  <si>
    <r>
      <t xml:space="preserve">El concepto económico </t>
    </r>
    <r>
      <rPr>
        <b/>
        <sz val="8"/>
        <color indexed="8"/>
        <rFont val="Arial"/>
        <family val="2"/>
      </rPr>
      <t>Prestaciones sociales</t>
    </r>
    <r>
      <rPr>
        <sz val="8"/>
        <color indexed="8"/>
        <rFont val="Arial"/>
        <family val="2"/>
      </rPr>
      <t xml:space="preserve"> son transferencias a los hogares para atender necesidades que surgen de riesgos sociales en salud, empleo, vivienda, educación, edad y pensión. Corresponden a prestaciones de seguridad social, asistencia social y las relacionadas con el empleo.</t>
    </r>
  </si>
  <si>
    <r>
      <t xml:space="preserve">El concepto económico </t>
    </r>
    <r>
      <rPr>
        <b/>
        <sz val="8"/>
        <color indexed="8"/>
        <rFont val="Arial"/>
        <family val="2"/>
      </rPr>
      <t>Otros gastos</t>
    </r>
    <r>
      <rPr>
        <sz val="8"/>
        <color indexed="8"/>
        <rFont val="Arial"/>
        <family val="2"/>
      </rPr>
      <t xml:space="preserve">  comprenden los de la propiedad (como dividendos, excedentes a Nación), transferencias no clasificadas en otra parte, pago de primas, tasas e indemnizaciones. </t>
    </r>
  </si>
  <si>
    <t>Activos financieros</t>
  </si>
  <si>
    <r>
      <t xml:space="preserve">El concepto económico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</si>
  <si>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r>
      <t xml:space="preserve">La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</si>
  <si>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t>Activos no financieros</t>
  </si>
  <si>
    <r>
      <t xml:space="preserve">El concepto económico </t>
    </r>
    <r>
      <rPr>
        <b/>
        <sz val="8"/>
        <color indexed="8"/>
        <rFont val="Arial"/>
        <family val="2"/>
      </rPr>
      <t xml:space="preserve">Activos fijos </t>
    </r>
    <r>
      <rPr>
        <sz val="8"/>
        <color indexed="8"/>
        <rFont val="Arial"/>
        <family val="2"/>
      </rPr>
      <t>hace referencia a activos producidos que se utilizan repetida o continuamente en procesos de producción durante más de un año.</t>
    </r>
  </si>
  <si>
    <r>
      <t xml:space="preserve">El concepto económico </t>
    </r>
    <r>
      <rPr>
        <b/>
        <sz val="8"/>
        <color indexed="8"/>
        <rFont val="Arial"/>
        <family val="2"/>
      </rPr>
      <t>Existencias</t>
    </r>
    <r>
      <rPr>
        <sz val="8"/>
        <color indexed="8"/>
        <rFont val="Arial"/>
        <family val="2"/>
      </rPr>
      <t xml:space="preserve"> hace referencia a los activos producidos que han entrado en existencia en el período actual o en un período anterior, y que se mantienen para ser vendidos, utilizados en la producción o destinados a otro uso en una fecha posterior.</t>
    </r>
  </si>
  <si>
    <r>
      <t xml:space="preserve">El concepto económico </t>
    </r>
    <r>
      <rPr>
        <b/>
        <sz val="8"/>
        <color indexed="8"/>
        <rFont val="Arial"/>
        <family val="2"/>
      </rPr>
      <t xml:space="preserve">Objetos de Valor </t>
    </r>
    <r>
      <rPr>
        <sz val="8"/>
        <color indexed="8"/>
        <rFont val="Arial"/>
        <family val="2"/>
      </rPr>
      <t xml:space="preserve">hace referencia a bienes de considerable valor que no se usan para fines de producción o consumo, sino que se mantienen a lo largo del tiempo principalmente como depósitos de valor;  por su parte, los </t>
    </r>
    <r>
      <rPr>
        <b/>
        <sz val="8"/>
        <color indexed="8"/>
        <rFont val="Arial"/>
        <family val="2"/>
      </rPr>
      <t>Activos no producidos</t>
    </r>
    <r>
      <rPr>
        <sz val="8"/>
        <color indexed="8"/>
        <rFont val="Arial"/>
        <family val="2"/>
      </rPr>
      <t xml:space="preserve"> incluyen las tierras y terrenos, los yacimientos de minerales del subsuelo, los peces en los mares abiertos pero territoriales y el espectro radial y las creaciones de la sociedad.</t>
    </r>
  </si>
  <si>
    <t xml:space="preserve">Formulario 1.2. Anteproyecto Ingresos - Fondos Especiales </t>
  </si>
  <si>
    <t xml:space="preserve">Formulario 1.2A Cálculo de ingresos corrientes por productos - Fondos Especiales </t>
  </si>
  <si>
    <t>(SI EL NOMBRE DEL FONDO ESPECIAL NO APARECE EN LA LISTA DESPLEGABLE POR FAVOR  REGÍSTRELO AQUÍ)</t>
  </si>
  <si>
    <t>Multas y sanciones</t>
  </si>
  <si>
    <t>Intereses de mora</t>
  </si>
  <si>
    <t>MULTAS Y SANCIONES</t>
  </si>
  <si>
    <t>Remuneraciones no constitutivas de factor salarial</t>
  </si>
  <si>
    <t>007</t>
  </si>
  <si>
    <t>012</t>
  </si>
  <si>
    <t>(diligenciar en pesos)</t>
  </si>
  <si>
    <t xml:space="preserve">FONDOS ESPECIALES </t>
  </si>
  <si>
    <t>Contribucción - Superintendencia de Puertos y Transporte</t>
  </si>
  <si>
    <t>Permiso para la toma de fotografías y videos en parque naturales</t>
  </si>
  <si>
    <t>Tasa por el uso de agua</t>
  </si>
  <si>
    <t xml:space="preserve">Evaluación de calidad de las estadísticas </t>
  </si>
  <si>
    <t>Acreditación de laboratorios ambientales</t>
  </si>
  <si>
    <t xml:space="preserve">Derecho por el registro de marcas </t>
  </si>
  <si>
    <t xml:space="preserve">Sanciones disciplinarias </t>
  </si>
  <si>
    <t xml:space="preserve">Sanciones contractuales </t>
  </si>
  <si>
    <t>Sanciones administrativas</t>
  </si>
  <si>
    <t>1.02.2.55. Permiso para la toma de fotografías y videos en parque naturales</t>
  </si>
  <si>
    <t>1.02.2.56. Tasa por el uso de agua</t>
  </si>
  <si>
    <t xml:space="preserve">1.02.2.57. Evaluación de calidad de las estadísticas </t>
  </si>
  <si>
    <t>1.02.2.61. Acreditación de laboratorios ambientales</t>
  </si>
  <si>
    <t xml:space="preserve">1.02.2.62. Derecho por el registro de marcas </t>
  </si>
  <si>
    <t>1.02.3.01.03. Sanciones disciplinarias</t>
  </si>
  <si>
    <t>1.02.3.01.04. Sanciones contractuales</t>
  </si>
  <si>
    <t>1.02.3.01.05. Sanciones administrativas</t>
  </si>
  <si>
    <t>Impuesto de salida</t>
  </si>
  <si>
    <t xml:space="preserve">Contribucción - Fondo de Curadores Urbanos </t>
  </si>
  <si>
    <t>Contribución - Fondo Notarias Decreto 1672 de 1997</t>
  </si>
  <si>
    <t xml:space="preserve">Contribución - Servicios notariales </t>
  </si>
  <si>
    <t xml:space="preserve">De Indumil </t>
  </si>
  <si>
    <t xml:space="preserve">Autorización de uso de zonas de fondeo - DIMAR </t>
  </si>
  <si>
    <t>1.01.2.15. Impuesto de salida</t>
  </si>
  <si>
    <t>1.02.1.04.49 Contribución Fondo de Curadores Urbanos</t>
  </si>
  <si>
    <t>1.02.1.04.50 Contribución Fondo Notarias Decreto 1672 de 1997</t>
  </si>
  <si>
    <t xml:space="preserve">1.02.1.04.51 Contribución Servicios Notariales </t>
  </si>
  <si>
    <t>1.02.1.04.52 De Indumil</t>
  </si>
  <si>
    <t>Recursos FRISCO</t>
  </si>
  <si>
    <t>Prescripción especial adquisitivo de dominio</t>
  </si>
  <si>
    <t>Recursos por acuerdos de compartición Ley 1743 de 2014</t>
  </si>
  <si>
    <t xml:space="preserve">Del Fondo para la Modernización, Descongestión y Bienestar de la Administración de la Justicia </t>
  </si>
  <si>
    <t xml:space="preserve">Distribucción Ley 55 de 1985 Superintendencia de Notariado y Registro </t>
  </si>
  <si>
    <t>Devolución IVA - Instituciones de educación superior</t>
  </si>
  <si>
    <t xml:space="preserve">Recursos de terceros en consignación </t>
  </si>
  <si>
    <t>1.02.6.10.Recursos FRISCO</t>
  </si>
  <si>
    <t>1.02.6.12.Prescripción especial adquisitivo de dominio</t>
  </si>
  <si>
    <t>1.02.6.13.Recursos por acuerdos de compartición Ley 1743 de 2014</t>
  </si>
  <si>
    <t xml:space="preserve">1.02.6.14.Del Fondo para la Modernización, Descongestión y Bienestar de la Administración de la Justicia </t>
  </si>
  <si>
    <t xml:space="preserve">1.02.6.15.Distribucción Ley 55 de 1985 Superintendencia de Notariado y Registro </t>
  </si>
  <si>
    <t xml:space="preserve">Certificaciones y constancias </t>
  </si>
  <si>
    <t xml:space="preserve">Permiso por tenencia y porte de armas </t>
  </si>
  <si>
    <t xml:space="preserve">Expedición de licencias de fabricación de derivados de cannabis </t>
  </si>
  <si>
    <t xml:space="preserve">Seguimiento a las licencias de fabricación de derivados de cannabis </t>
  </si>
  <si>
    <t xml:space="preserve">Derechos marítimos </t>
  </si>
  <si>
    <t xml:space="preserve">Tasas Servicio de seguridad marítima </t>
  </si>
  <si>
    <t xml:space="preserve">Expedición de cédulas militares y policiales </t>
  </si>
  <si>
    <t>Expedición de tarjetas de reservista y provisional</t>
  </si>
  <si>
    <t>59</t>
  </si>
  <si>
    <t>60</t>
  </si>
  <si>
    <t>68</t>
  </si>
  <si>
    <t>69</t>
  </si>
  <si>
    <t>70</t>
  </si>
  <si>
    <t>71</t>
  </si>
  <si>
    <t xml:space="preserve">1.02.2.59. Expedición de licencias de fabricación de derivados de cannabis </t>
  </si>
  <si>
    <t xml:space="preserve">1.02.2.15. Certificaciones y constancias </t>
  </si>
  <si>
    <t xml:space="preserve">1.02.2.39. Expedición de tarjetas profesionales </t>
  </si>
  <si>
    <t xml:space="preserve">1.02.2.40. Derechos de registro </t>
  </si>
  <si>
    <t xml:space="preserve">1.02.2.43. Permiso por tenencia y porte de armas </t>
  </si>
  <si>
    <t xml:space="preserve">1.02.2.60. Seguimiento a las licencias de fabricación de derivados de cannabis </t>
  </si>
  <si>
    <t xml:space="preserve">1.02.2.68. Derechos marítimos </t>
  </si>
  <si>
    <t xml:space="preserve">1.02.2.69. Tasas Servicio de seguridad marítima </t>
  </si>
  <si>
    <t>1.02.2.70. Expedición de tarjetas de reservista y provisional</t>
  </si>
  <si>
    <t xml:space="preserve">1.02.2.71. Expedición de cédulas militares y policiales </t>
  </si>
  <si>
    <t>Multas Superintendencias</t>
  </si>
  <si>
    <t>Sanciones aduaneras</t>
  </si>
  <si>
    <t xml:space="preserve">Recursos FRISCO </t>
  </si>
  <si>
    <t xml:space="preserve">Prescripción especial adquisitivo de dominio </t>
  </si>
  <si>
    <t>Recursos por Acuerdos de Compartición  Ley 1743 de 2014</t>
  </si>
  <si>
    <t>Del Fondo para la Modernización, Descongestión y Bienestar de la Administración de la Justicia</t>
  </si>
  <si>
    <t xml:space="preserve">Dsitribucción Ley 55 de 1985 Superintendencia de Notariado y Registro </t>
  </si>
  <si>
    <t>Sanciones fiscales</t>
  </si>
  <si>
    <t xml:space="preserve">Multas judiciales </t>
  </si>
  <si>
    <t xml:space="preserve">Sanciones por desestimiento </t>
  </si>
  <si>
    <t xml:space="preserve">1.02.3.01.01. Multas Superintendencias </t>
  </si>
  <si>
    <t xml:space="preserve">1.02.3.01.02. Sanciones Aduaneras </t>
  </si>
  <si>
    <t xml:space="preserve">1.02.3.01.06. Sanciones fiscales </t>
  </si>
  <si>
    <t xml:space="preserve">1.02.3.01.07. Multas judiciales </t>
  </si>
  <si>
    <t>1.02.3.01.08. Sanciones por desestimiento</t>
  </si>
  <si>
    <t>Contribucción pensionados militares y policia</t>
  </si>
  <si>
    <t>Monetización cuota de aprendizaje</t>
  </si>
  <si>
    <t xml:space="preserve">Contribucción servicios notariales </t>
  </si>
  <si>
    <t xml:space="preserve">Expedición de antecedentes disciplinarios profesionales </t>
  </si>
  <si>
    <t>63</t>
  </si>
  <si>
    <t xml:space="preserve">Certificados catastrales </t>
  </si>
  <si>
    <t>65</t>
  </si>
  <si>
    <t>Tasa por el uso de la insfraestructura de transporte</t>
  </si>
  <si>
    <t>66</t>
  </si>
  <si>
    <t xml:space="preserve">Por uso de laboratorios y espacioes físicos </t>
  </si>
  <si>
    <t>67</t>
  </si>
  <si>
    <t>Expedición de permisos para ejercer actividades pesqueras</t>
  </si>
  <si>
    <t>Expedición de patentes de pesca</t>
  </si>
  <si>
    <t xml:space="preserve">Contraprestación para la provisión de redes y servicios </t>
  </si>
  <si>
    <t>72</t>
  </si>
  <si>
    <t>73</t>
  </si>
  <si>
    <t>74</t>
  </si>
  <si>
    <t xml:space="preserve">1.02.2.63. Expedición de antecedentes disciplinarios profesionales </t>
  </si>
  <si>
    <t xml:space="preserve">1.02.2.65. Certificados catastrales </t>
  </si>
  <si>
    <t>1.02.2.66. Tasa por el uso de la insfraestructura de transporte</t>
  </si>
  <si>
    <t xml:space="preserve">1.02.2.67. Por uso de laboratorios y espacioes físicos </t>
  </si>
  <si>
    <t>1.02.2.72. Expedición de permisos para ejercer actividades pesqueras</t>
  </si>
  <si>
    <t>1.02.2.73. Expedición de patentes de pesca</t>
  </si>
  <si>
    <t xml:space="preserve">1.02.2.74. Contraprestación para la provisión de redes y servicios </t>
  </si>
  <si>
    <t xml:space="preserve">Devolución IVA - Instituciones de educación superior </t>
  </si>
  <si>
    <t xml:space="preserve">1.02.1.04.48. Monetización cuota de aprendizaje </t>
  </si>
  <si>
    <t>1.02.1.04.51. Contribucción servicios notariales</t>
  </si>
  <si>
    <t xml:space="preserve">1.02.6.11. Mercancías Aprehendidas, Decomisadas o Abandonadas </t>
  </si>
  <si>
    <t>1.02.6.04 Devolución IVA - Instituciones de educación superior</t>
  </si>
  <si>
    <t>Mercancías Aprehendidas, Decomisadas o Abandonadas</t>
  </si>
  <si>
    <t>440102</t>
  </si>
  <si>
    <t>TRIBUNAL DE PAZ Y LAS SALAS DE JUSTICIA</t>
  </si>
  <si>
    <t>440103</t>
  </si>
  <si>
    <t>UNIDAD DE INVESTIGACIÓN Y ACUSACIÓN</t>
  </si>
  <si>
    <t>440104</t>
  </si>
  <si>
    <t>SECRETARIA EJECUTIVA</t>
  </si>
  <si>
    <t>440200</t>
  </si>
  <si>
    <t>COMISIÓN PARA EL ESCLARECIMIENTO DE LA VERDAD, LA CONVIVENCIA Y LA NO REPETICIÓN</t>
  </si>
  <si>
    <t>440300</t>
  </si>
  <si>
    <t>UNIDAD DE BUSQUEDA DE PERSONAS DADAS POR DESAPARECIDAS EN EL CONTEXTO Y EN RAZÓN DEL CONFLICTO ARMADO UBDP</t>
  </si>
  <si>
    <t>6010</t>
  </si>
  <si>
    <t>6013</t>
  </si>
  <si>
    <t>6014</t>
  </si>
  <si>
    <t>6015</t>
  </si>
  <si>
    <t>6017</t>
  </si>
  <si>
    <t>6019</t>
  </si>
  <si>
    <t>FONDO DE RECURSOS SOAT Y FONSAT (ANTES FOSYGA)</t>
  </si>
  <si>
    <t>6021</t>
  </si>
  <si>
    <t>6022</t>
  </si>
  <si>
    <t>COMISION DE REGULACION DE TELECOMUNICACIONES</t>
  </si>
  <si>
    <t>6023</t>
  </si>
  <si>
    <t>6024</t>
  </si>
  <si>
    <t>6025</t>
  </si>
  <si>
    <t>6031</t>
  </si>
  <si>
    <t>6033</t>
  </si>
  <si>
    <t>6034</t>
  </si>
  <si>
    <t>6035</t>
  </si>
  <si>
    <t>6036</t>
  </si>
  <si>
    <t>6039</t>
  </si>
  <si>
    <t>6040</t>
  </si>
  <si>
    <t>FONDO SUBSIDIO SOBRETASA GASOLINA LEY 488/98</t>
  </si>
  <si>
    <t>6041</t>
  </si>
  <si>
    <t>FONDO PENSIONES SUPERINTENDENCIAS, CARBOCOL Y CAMINOS VECINALES</t>
  </si>
  <si>
    <t>6042</t>
  </si>
  <si>
    <t>6043</t>
  </si>
  <si>
    <t>FONDO SOBRETASA AL ACPM (LEY 488/98)</t>
  </si>
  <si>
    <t>6046</t>
  </si>
  <si>
    <t>6049</t>
  </si>
  <si>
    <t>FONDO DE INVESTIGACION EN SALUD (Ley643/01)</t>
  </si>
  <si>
    <t>6050</t>
  </si>
  <si>
    <t>6051</t>
  </si>
  <si>
    <t>FONDO APOYO FINANCIERO ZONAS  NO INTERCONECTADAS (FAZNI)</t>
  </si>
  <si>
    <t>6052</t>
  </si>
  <si>
    <t>FONDO APOYO FINANCIERO PARA LA ENERGIZACIÓN DE LAS ZONAS RURALES INTERCONECTADAS (FAER)</t>
  </si>
  <si>
    <t>6053</t>
  </si>
  <si>
    <t>6055</t>
  </si>
  <si>
    <t>6056</t>
  </si>
  <si>
    <t>FONDO ESPECIAL DE ENERGÍA SOCIAL (FOES ART.118 DE LA LEY 812 DE 2003).</t>
  </si>
  <si>
    <t>6057</t>
  </si>
  <si>
    <t>FONDO CUENTA DE CAPACITACIÓN Y PUBLICACIONES DE LA CONTRALORIA GENERAL REPUBLICA</t>
  </si>
  <si>
    <t>6059</t>
  </si>
  <si>
    <t>6060</t>
  </si>
  <si>
    <t>6061</t>
  </si>
  <si>
    <t>6062</t>
  </si>
  <si>
    <t>6063</t>
  </si>
  <si>
    <t>6066</t>
  </si>
  <si>
    <t>FONDO DE MODERNIZACIÓN, DESCONGESTIÓN Y BIENESTAR DE LA ADMINISTRACIÓN DE   JUSTICIA</t>
  </si>
  <si>
    <t>6067</t>
  </si>
  <si>
    <t>FONDO RENTAS MONOPOLIO PARA EL SECTOR SALUD - LEY 643 DE 2001</t>
  </si>
  <si>
    <t>6068</t>
  </si>
  <si>
    <t>6069</t>
  </si>
  <si>
    <t>6070</t>
  </si>
  <si>
    <t>FONDOS MINISTERIO JUSTICIA</t>
  </si>
  <si>
    <t>6071</t>
  </si>
  <si>
    <t>FONDO DESARROLLO PEQUEÑA Y MEDIANA MINERÍA (ART. 151 LEY 1530 DE 2012)</t>
  </si>
  <si>
    <t>6073</t>
  </si>
  <si>
    <t>6074</t>
  </si>
  <si>
    <t>6075</t>
  </si>
  <si>
    <t>6077</t>
  </si>
  <si>
    <t>6078</t>
  </si>
  <si>
    <t>FONDO DE REPARACIÓN DE VICTIMAS</t>
  </si>
  <si>
    <t>FONDO NACIONAL DE SEGURIDAD VIAL</t>
  </si>
  <si>
    <t>FONDO FISCALIZACIÓN MINERA</t>
  </si>
  <si>
    <t>FONDO VIVIENDA - SENA</t>
  </si>
  <si>
    <t>FONDO VIVIENDA - SUPERINTENDENCIA NOTARIADO Y REGISTRO</t>
  </si>
  <si>
    <t>FONDO INDUSTRIA DE LA CONSTRUCCION FIC</t>
  </si>
  <si>
    <t>3210</t>
  </si>
  <si>
    <t>FONDO DE CURADORES URBANOS</t>
  </si>
  <si>
    <t>3211</t>
  </si>
  <si>
    <t>FONDO PARA LA ADMINISTRACIÓN DE BIENES DE LA FISCALIA</t>
  </si>
  <si>
    <t>3212</t>
  </si>
  <si>
    <t>CONTRIBUCIONES ESPECIALES  - EP</t>
  </si>
  <si>
    <t>Recaudo Ley 55 de 1985 Superintendencia de Notariado y Registro</t>
  </si>
  <si>
    <t>FONDOS ESPECIALES - CONTRIBUCCIONES PARAFISCALES DE LA NACIÓN</t>
  </si>
  <si>
    <t>CENSATÍAS</t>
  </si>
  <si>
    <t xml:space="preserve">Cesantías definitivas </t>
  </si>
  <si>
    <t xml:space="preserve">Cesantías parciales </t>
  </si>
  <si>
    <t>Deuda Cesantías soldados profesionales afiliados Caja Promotora de Vivienda Militar y de Policía - CPVMP</t>
  </si>
  <si>
    <t>Deuda Cesantías Policía Nacional afiliados Caja Promotora de Vivienda Militar y de Policía - CPVMP</t>
  </si>
  <si>
    <t>COMISION DE REGULACION DE COMUNICACIONES</t>
  </si>
  <si>
    <t>1.02.4.04. Regalías y compensaciones monetarias</t>
  </si>
  <si>
    <t>Ley 1978 de 2019, ingresos por concepto de contribución más excedentes de contribución en firme.</t>
  </si>
  <si>
    <t>1.02.1.04.01. Contribución - Comisión de Regulación de Comunicaciones (CRC) y excedentes de contribución que se encuentran en firme</t>
  </si>
  <si>
    <t>SECCIÓN:                     230103</t>
  </si>
  <si>
    <t>UNIDAD: MINISTERIO DE LAS TECNOLOGÍAS DE LA INFORMACIÓN Y LA COMUNICACIONES - UNIDAD ADMINISTRATIVA ESPECIAL COMISIÓN DE REGULACIÓN DE COMUNICACIONES</t>
  </si>
  <si>
    <t>ANTEPROYECTO PRESUPUESTO DE GASTOS - VIGENCIA: 2020</t>
  </si>
  <si>
    <t>Pesos</t>
  </si>
  <si>
    <t>A entidades de gobierno</t>
  </si>
  <si>
    <t>Provisión Para Gastos Institucionales Y/O Sectoriales - Previo Concepto</t>
  </si>
  <si>
    <t>Prestaciones sociales</t>
  </si>
  <si>
    <t>Incapacidades Y Licencias De Maternidad y Paternidad (No De Pensiones)</t>
  </si>
  <si>
    <t>Gastos por tributos, multas, saciones e intereses de mora</t>
  </si>
  <si>
    <t>Impuestos</t>
  </si>
  <si>
    <t>Formulario 4. Anteproyecto Planta de personal</t>
  </si>
  <si>
    <t>PLANTA DE PERSONAL VIGENCIA ACTUAL</t>
  </si>
  <si>
    <t>DENOMINACIÓN DE CARGOS</t>
  </si>
  <si>
    <t>Grado</t>
  </si>
  <si>
    <t>No. Cargos</t>
  </si>
  <si>
    <t>Remuneraciones no constitutivas de Factor Salarial</t>
  </si>
  <si>
    <t>Contribuciones Inherentes a la Nómina</t>
  </si>
  <si>
    <t>Total  
Gastos de personal</t>
  </si>
  <si>
    <t>Factores Salariales comunes</t>
  </si>
  <si>
    <t>Factores Salariales Especiales</t>
  </si>
  <si>
    <t>Prestaciones sociales según definición legal</t>
  </si>
  <si>
    <t>Otras remuneraciones no constitutivas de Factor Salarial</t>
  </si>
  <si>
    <t>Pensiones</t>
  </si>
  <si>
    <t>Aportes de Cesantías</t>
  </si>
  <si>
    <t>Cajas de Compensación Familiar</t>
  </si>
  <si>
    <t>Aportes Generales al Sistema de Riesgos Laborales</t>
  </si>
  <si>
    <t>Aportes al ICBF</t>
  </si>
  <si>
    <t>Aportes al SENA</t>
  </si>
  <si>
    <t>Aportes a la ESAP</t>
  </si>
  <si>
    <t>Aportes a escuelas industriales e institutos técnicos</t>
  </si>
  <si>
    <t>Subsidio de vivienda Fuerzas Militares y Policía</t>
  </si>
  <si>
    <t>Incapacidades (No de pensiones)</t>
  </si>
  <si>
    <t>Licencias de maternidad y paternidad (No de pensiones)</t>
  </si>
  <si>
    <t>Total 
Transferencia</t>
  </si>
  <si>
    <t>Sueldo básico</t>
  </si>
  <si>
    <t>Gastos de representación</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</si>
  <si>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</si>
  <si>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</si>
  <si>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</si>
  <si>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</si>
  <si>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</si>
  <si>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</si>
  <si>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</si>
  <si>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</si>
  <si>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Viáticos de los funcionarios en comisión</t>
  </si>
  <si>
    <t>Subtotal 1</t>
  </si>
  <si>
    <t>Factor Salarial Especial 1</t>
  </si>
  <si>
    <t>Factor Salarial Especial 2</t>
  </si>
  <si>
    <t>Factor Salarial Especial 3</t>
  </si>
  <si>
    <t>Factor Salarial Especial 4</t>
  </si>
  <si>
    <t>Subtotal 2</t>
  </si>
  <si>
    <t>Sueldo de vacaciones</t>
  </si>
  <si>
    <t>Indemnización por vacaciones</t>
  </si>
  <si>
    <t>Bonificación especial de recreación</t>
  </si>
  <si>
    <t>Prima técnica no factor</t>
  </si>
  <si>
    <t>Bonificación de dirección</t>
  </si>
  <si>
    <t>Prima de dirección</t>
  </si>
  <si>
    <t>Remuneración 4</t>
  </si>
  <si>
    <t>Institutos</t>
  </si>
  <si>
    <t>Mes</t>
  </si>
  <si>
    <t>Anual</t>
  </si>
  <si>
    <t>Técnicos</t>
  </si>
  <si>
    <t>4+5= 6</t>
  </si>
  <si>
    <t>A-01-01-03-030</t>
  </si>
  <si>
    <t>7+8=9</t>
  </si>
  <si>
    <t>11.1+11.2</t>
  </si>
  <si>
    <t>6+9+10=12</t>
  </si>
  <si>
    <t>EMPLEADOS PÚBLICOS</t>
  </si>
  <si>
    <t>2</t>
  </si>
  <si>
    <t>6</t>
  </si>
  <si>
    <t>4</t>
  </si>
  <si>
    <t>3</t>
  </si>
  <si>
    <t>5</t>
  </si>
  <si>
    <t>NIVEL DIRECTIVO</t>
  </si>
  <si>
    <t>Experto Comisionado</t>
  </si>
  <si>
    <t>0090-0</t>
  </si>
  <si>
    <t>Directivo</t>
  </si>
  <si>
    <t>NIVEL ASESOR</t>
  </si>
  <si>
    <t>Asesor 18</t>
  </si>
  <si>
    <t>1020-18</t>
  </si>
  <si>
    <t>Asesor 17</t>
  </si>
  <si>
    <t>1020-17</t>
  </si>
  <si>
    <t>Asesor 16</t>
  </si>
  <si>
    <t>1020-16</t>
  </si>
  <si>
    <t>Asesor 15</t>
  </si>
  <si>
    <t>1020-15</t>
  </si>
  <si>
    <t>Asesor 14</t>
  </si>
  <si>
    <t>1020-14</t>
  </si>
  <si>
    <t>Asesor 13</t>
  </si>
  <si>
    <t>1020-13</t>
  </si>
  <si>
    <t>Asesor 12</t>
  </si>
  <si>
    <t>1020-12</t>
  </si>
  <si>
    <t>Asesor 09</t>
  </si>
  <si>
    <t>1020-09</t>
  </si>
  <si>
    <t>Asesor 07</t>
  </si>
  <si>
    <t>1020-07</t>
  </si>
  <si>
    <t>NIVEL EJECUTIVO</t>
  </si>
  <si>
    <t>NIVEL PROFESIONAL</t>
  </si>
  <si>
    <t>Profesional Especializado</t>
  </si>
  <si>
    <t>2028-24</t>
  </si>
  <si>
    <t>2028-22</t>
  </si>
  <si>
    <t>2028-21</t>
  </si>
  <si>
    <t>2028-19</t>
  </si>
  <si>
    <t>2028-18</t>
  </si>
  <si>
    <t>2028-17</t>
  </si>
  <si>
    <t>2028-15</t>
  </si>
  <si>
    <t>2028-14</t>
  </si>
  <si>
    <t>Profesional Universitario</t>
  </si>
  <si>
    <t>2044-11</t>
  </si>
  <si>
    <t>2044-08</t>
  </si>
  <si>
    <t>2044-06</t>
  </si>
  <si>
    <t>2044-05</t>
  </si>
  <si>
    <t>2044-02</t>
  </si>
  <si>
    <t>2044-01</t>
  </si>
  <si>
    <t>NIVEL TÉCNICO</t>
  </si>
  <si>
    <t>Técnico  Administrativo</t>
  </si>
  <si>
    <t>3124-18</t>
  </si>
  <si>
    <t>NIVEL ASISTENCIAL</t>
  </si>
  <si>
    <t>Secretario Ejecutivo</t>
  </si>
  <si>
    <t>4210-24</t>
  </si>
  <si>
    <t>Conductor Mecánico</t>
  </si>
  <si>
    <t>4103-19</t>
  </si>
  <si>
    <t>TOTAL EMPLEADOS PÚBLICOS</t>
  </si>
  <si>
    <t>TRABAJADORES OFICIALES</t>
  </si>
  <si>
    <t>TOTAL TRABAJADORES OFICIALES</t>
  </si>
  <si>
    <t>TOTAL PLANTA DE PERSONAL</t>
  </si>
  <si>
    <t>Formulario 4A Certificación de Nómina</t>
  </si>
  <si>
    <t>ANTEPROYECTO COSTO DE NÓMINA - VIGENCIA</t>
  </si>
  <si>
    <t>DENOMINACIÓN DE CARGO</t>
  </si>
  <si>
    <t>Planta Actual</t>
  </si>
  <si>
    <t>Nómina Provista</t>
  </si>
  <si>
    <t>Total Cargos Provistos</t>
  </si>
  <si>
    <t>Cargos Vacantes</t>
  </si>
  <si>
    <t>Libre Nombramiento</t>
  </si>
  <si>
    <t>Carrera Administrativa</t>
  </si>
  <si>
    <t>Propiedad</t>
  </si>
  <si>
    <t>Provisionales</t>
  </si>
  <si>
    <t>5=2+3+4</t>
  </si>
  <si>
    <t>6=1-5</t>
  </si>
  <si>
    <t>Empleados Públicos</t>
  </si>
  <si>
    <t>EXPERTO COMISIONADO</t>
  </si>
  <si>
    <t>0090-00</t>
  </si>
  <si>
    <t>ASESOR 18</t>
  </si>
  <si>
    <t>ASESOR 17</t>
  </si>
  <si>
    <t>ASESOR 16</t>
  </si>
  <si>
    <t>ASESOR 15</t>
  </si>
  <si>
    <t>ASESOR 14</t>
  </si>
  <si>
    <t>ASESOR 12</t>
  </si>
  <si>
    <t>ASESOR 09</t>
  </si>
  <si>
    <t>ASESOR 07</t>
  </si>
  <si>
    <t xml:space="preserve">PROFESIONAL ESPECIALIZADO </t>
  </si>
  <si>
    <t>PROFESIONAL UNIVERSITARIO</t>
  </si>
  <si>
    <t>PROFESIONAL  UNIVERSITARIO</t>
  </si>
  <si>
    <t>NIVEL TECNICO</t>
  </si>
  <si>
    <t>TECNICO ADMINISTRATIVO</t>
  </si>
  <si>
    <t>SECRETARIO EJECUTIVO</t>
  </si>
  <si>
    <t>CONDUCTOR MECÁNICO</t>
  </si>
  <si>
    <t>Total Empleados Públicos</t>
  </si>
  <si>
    <t>Trabajadores Oficiales</t>
  </si>
  <si>
    <t>Total  Trabajadores Oficiales</t>
  </si>
  <si>
    <t>Total Personal</t>
  </si>
  <si>
    <t>Bogotá D.C., 29 marzo de 2019</t>
  </si>
  <si>
    <t xml:space="preserve">Ciudad y fecha </t>
  </si>
  <si>
    <t>Jefe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</si>
</sst>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_-;\-* #,##0_-;_-* &quot;-&quot;??_-;_-@_-"/>
    <numFmt numFmtId="167" formatCode="_(* #,##0_);_(* \(#,##0\);_(* &quot;-&quot;??_);_(@_)"/>
    <numFmt numFmtId="168" formatCode="#,##0_ ;[Red]\-#,##0\ "/>
    <numFmt numFmtId="169" formatCode="000"/>
    <numFmt numFmtId="170" formatCode="#,##0_ ;\-#,##0\ "/>
    <numFmt numFmtId="171" formatCode="_-&quot;$&quot;* #,##0.00_-;\-&quot;$&quot;* #,##0.00_-;_-&quot;$&quot;* &quot;-&quot;??_-;_-@_-"/>
    <numFmt numFmtId="172" formatCode="0_)"/>
    <numFmt numFmtId="173" formatCode="&quot;$&quot;#,##0"/>
  </numFmts>
  <fonts count="4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9"/>
      <color indexed="81"/>
      <name val="Tahoma"/>
      <family val="2"/>
    </font>
    <font>
      <u/>
      <sz val="9"/>
      <color indexed="81"/>
      <name val="Tahoma"/>
      <family val="2"/>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name val="Calibri"/>
      <family val="2"/>
      <scheme val="minor"/>
    </font>
    <font>
      <sz val="8"/>
      <color rgb="FF000000"/>
      <name val="Calibri"/>
      <family val="2"/>
      <scheme val="minor"/>
    </font>
    <font>
      <b/>
      <sz val="8"/>
      <color theme="0"/>
      <name val="Arial"/>
      <family val="2"/>
    </font>
    <font>
      <b/>
      <sz val="8"/>
      <name val="Arial"/>
      <family val="2"/>
    </font>
    <font>
      <sz val="8"/>
      <name val="Arial"/>
      <family val="2"/>
    </font>
    <font>
      <sz val="8"/>
      <color indexed="8"/>
      <name val="Arial"/>
      <family val="2"/>
    </font>
    <font>
      <u/>
      <sz val="11"/>
      <color theme="10"/>
      <name val="Calibri"/>
      <family val="2"/>
      <scheme val="minor"/>
    </font>
    <font>
      <u/>
      <sz val="11"/>
      <color theme="11"/>
      <name val="Calibri"/>
      <family val="2"/>
      <scheme val="minor"/>
    </font>
    <font>
      <b/>
      <sz val="9"/>
      <color theme="1"/>
      <name val="Calibri"/>
      <family val="2"/>
      <scheme val="minor"/>
    </font>
    <font>
      <sz val="8"/>
      <color indexed="81"/>
      <name val="Tahoma"/>
      <family val="2"/>
    </font>
    <font>
      <b/>
      <sz val="8"/>
      <color indexed="81"/>
      <name val="Tahoma"/>
      <family val="2"/>
    </font>
    <font>
      <u/>
      <sz val="8"/>
      <color indexed="81"/>
      <name val="Tahoma"/>
      <family val="2"/>
    </font>
    <font>
      <b/>
      <sz val="9"/>
      <color theme="1"/>
      <name val="Calibri"/>
      <family val="2"/>
      <scheme val="minor"/>
    </font>
    <font>
      <sz val="8"/>
      <color rgb="FFFF0000"/>
      <name val="Arial"/>
      <family val="2"/>
    </font>
    <font>
      <sz val="8"/>
      <color theme="1"/>
      <name val="Tahoma"/>
      <family val="2"/>
    </font>
    <font>
      <u/>
      <sz val="8"/>
      <color theme="1"/>
      <name val="Tahoma"/>
      <family val="2"/>
    </font>
    <font>
      <b/>
      <sz val="7"/>
      <color theme="1"/>
      <name val="Calibri"/>
      <family val="2"/>
      <scheme val="minor"/>
    </font>
    <font>
      <b/>
      <sz val="9"/>
      <color rgb="FFFF0000"/>
      <name val="Calibri"/>
      <family val="2"/>
      <scheme val="minor"/>
    </font>
    <font>
      <b/>
      <sz val="8"/>
      <color indexed="8"/>
      <name val="Arial"/>
      <family val="2"/>
    </font>
    <font>
      <b/>
      <sz val="10"/>
      <name val="Arial"/>
      <family val="2"/>
    </font>
    <font>
      <b/>
      <sz val="12"/>
      <name val="Arial"/>
      <family val="2"/>
    </font>
    <font>
      <b/>
      <sz val="10"/>
      <color theme="0"/>
      <name val="Arial"/>
      <family val="2"/>
    </font>
    <font>
      <sz val="10"/>
      <color theme="0"/>
      <name val="Arial"/>
      <family val="2"/>
    </font>
    <font>
      <sz val="8"/>
      <color theme="1"/>
      <name val="Arial"/>
      <family val="2"/>
    </font>
    <font>
      <sz val="10"/>
      <color indexed="81"/>
      <name val="Tahoma"/>
      <family val="2"/>
    </font>
    <font>
      <b/>
      <sz val="9"/>
      <color indexed="81"/>
      <name val="Tahoma"/>
      <family val="2"/>
    </font>
    <font>
      <b/>
      <u/>
      <sz val="8"/>
      <color indexed="81"/>
      <name val="Tahoma"/>
      <family val="2"/>
    </font>
    <font>
      <sz val="10"/>
      <name val="Arial Narrow"/>
      <family val="2"/>
    </font>
    <font>
      <b/>
      <u/>
      <sz val="8"/>
      <name val="Calibri"/>
      <family val="2"/>
      <scheme val="minor"/>
    </font>
    <font>
      <b/>
      <sz val="8"/>
      <color rgb="FFFF0000"/>
      <name val="Calibri"/>
      <family val="2"/>
      <scheme val="minor"/>
    </font>
  </fonts>
  <fills count="24">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5"/>
      </patternFill>
    </fill>
    <fill>
      <patternFill patternType="solid">
        <fgColor rgb="FF790909"/>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s>
  <borders count="1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medium">
        <color auto="1"/>
      </bottom>
      <diagonal/>
    </border>
    <border>
      <left style="thin">
        <color auto="1"/>
      </left>
      <right style="thick">
        <color auto="1"/>
      </right>
      <top style="thin">
        <color auto="1"/>
      </top>
      <bottom style="thin">
        <color auto="1"/>
      </bottom>
      <diagonal/>
    </border>
    <border>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thick">
        <color auto="1"/>
      </top>
      <bottom style="medium">
        <color auto="1"/>
      </bottom>
      <diagonal/>
    </border>
    <border>
      <left style="dashed">
        <color auto="1"/>
      </left>
      <right/>
      <top/>
      <bottom/>
      <diagonal/>
    </border>
    <border>
      <left/>
      <right/>
      <top style="thin">
        <color auto="1"/>
      </top>
      <bottom style="thin">
        <color auto="1"/>
      </bottom>
      <diagonal/>
    </border>
    <border>
      <left/>
      <right/>
      <top style="thick">
        <color auto="1"/>
      </top>
      <bottom style="medium">
        <color auto="1"/>
      </bottom>
      <diagonal/>
    </border>
    <border>
      <left style="thick">
        <color auto="1"/>
      </left>
      <right style="thick">
        <color auto="1"/>
      </right>
      <top/>
      <bottom style="medium">
        <color auto="1"/>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ashed">
        <color auto="1"/>
      </left>
      <right style="dashed">
        <color auto="1"/>
      </right>
      <top style="dashed">
        <color auto="1"/>
      </top>
      <bottom style="dashed">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style="hair">
        <color auto="1"/>
      </left>
      <right style="hair">
        <color auto="1"/>
      </right>
      <top style="hair">
        <color auto="1"/>
      </top>
      <bottom style="hair">
        <color auto="1"/>
      </bottom>
      <diagonal/>
    </border>
    <border>
      <left style="thick">
        <color auto="1"/>
      </left>
      <right style="thick">
        <color auto="1"/>
      </right>
      <top style="hair">
        <color auto="1"/>
      </top>
      <bottom style="hair">
        <color auto="1"/>
      </bottom>
      <diagonal/>
    </border>
    <border>
      <left/>
      <right style="thick">
        <color auto="1"/>
      </right>
      <top style="dashed">
        <color auto="1"/>
      </top>
      <bottom/>
      <diagonal/>
    </border>
    <border>
      <left style="dashed">
        <color auto="1"/>
      </left>
      <right style="dashed">
        <color auto="1"/>
      </right>
      <top/>
      <bottom style="dashed">
        <color auto="1"/>
      </bottom>
      <diagonal/>
    </border>
    <border>
      <left style="hair">
        <color auto="1"/>
      </left>
      <right style="hair">
        <color auto="1"/>
      </right>
      <top style="hair">
        <color auto="1"/>
      </top>
      <bottom/>
      <diagonal/>
    </border>
    <border>
      <left style="thick">
        <color auto="1"/>
      </left>
      <right style="thick">
        <color auto="1"/>
      </right>
      <top style="thin">
        <color auto="1"/>
      </top>
      <bottom style="dashed">
        <color auto="1"/>
      </bottom>
      <diagonal/>
    </border>
    <border>
      <left style="dashed">
        <color auto="1"/>
      </left>
      <right style="thick">
        <color auto="1"/>
      </right>
      <top style="thin">
        <color auto="1"/>
      </top>
      <bottom style="dashed">
        <color auto="1"/>
      </bottom>
      <diagonal/>
    </border>
    <border>
      <left style="dashed">
        <color auto="1"/>
      </left>
      <right style="thick">
        <color auto="1"/>
      </right>
      <top style="dashed">
        <color auto="1"/>
      </top>
      <bottom style="dashed">
        <color auto="1"/>
      </bottom>
      <diagonal/>
    </border>
    <border>
      <left style="medium">
        <color auto="1"/>
      </left>
      <right style="thick">
        <color auto="1"/>
      </right>
      <top style="medium">
        <color auto="1"/>
      </top>
      <bottom/>
      <diagonal/>
    </border>
    <border>
      <left style="thick">
        <color auto="1"/>
      </left>
      <right style="thick">
        <color auto="1"/>
      </right>
      <top style="thick">
        <color auto="1"/>
      </top>
      <bottom style="thin">
        <color auto="1"/>
      </bottom>
      <diagonal/>
    </border>
    <border>
      <left style="thick">
        <color auto="1"/>
      </left>
      <right/>
      <top style="thick">
        <color auto="1"/>
      </top>
      <bottom style="thick">
        <color auto="1"/>
      </bottom>
      <diagonal/>
    </border>
    <border>
      <left/>
      <right/>
      <top style="thin">
        <color auto="1"/>
      </top>
      <bottom/>
      <diagonal/>
    </border>
    <border>
      <left style="medium">
        <color auto="1"/>
      </left>
      <right style="medium">
        <color auto="1"/>
      </right>
      <top style="thick">
        <color auto="1"/>
      </top>
      <bottom/>
      <diagonal/>
    </border>
    <border>
      <left style="thick">
        <color auto="1"/>
      </left>
      <right style="thick">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diagonal/>
    </border>
    <border>
      <left style="dashDotDot">
        <color auto="1"/>
      </left>
      <right style="dashDotDot">
        <color auto="1"/>
      </right>
      <top/>
      <bottom/>
      <diagonal/>
    </border>
    <border>
      <left/>
      <right style="thick">
        <color auto="1"/>
      </right>
      <top style="thick">
        <color auto="1"/>
      </top>
      <bottom/>
      <diagonal/>
    </border>
    <border>
      <left style="hair">
        <color auto="1"/>
      </left>
      <right style="thick">
        <color auto="1"/>
      </right>
      <top style="dashed">
        <color auto="1"/>
      </top>
      <bottom style="dashed">
        <color auto="1"/>
      </bottom>
      <diagonal/>
    </border>
    <border>
      <left style="hair">
        <color auto="1"/>
      </left>
      <right style="thick">
        <color auto="1"/>
      </right>
      <top style="dashed">
        <color auto="1"/>
      </top>
      <bottom style="hair">
        <color auto="1"/>
      </bottom>
      <diagonal/>
    </border>
    <border>
      <left style="hair">
        <color auto="1"/>
      </left>
      <right style="hair">
        <color auto="1"/>
      </right>
      <top style="dashed">
        <color auto="1"/>
      </top>
      <bottom style="hair">
        <color auto="1"/>
      </bottom>
      <diagonal/>
    </border>
    <border>
      <left/>
      <right/>
      <top style="dashed">
        <color auto="1"/>
      </top>
      <bottom style="hair">
        <color auto="1"/>
      </bottom>
      <diagonal/>
    </border>
    <border>
      <left style="thin">
        <color auto="1"/>
      </left>
      <right/>
      <top/>
      <bottom/>
      <diagonal/>
    </border>
    <border>
      <left/>
      <right/>
      <top/>
      <bottom style="thin">
        <color auto="1"/>
      </bottom>
      <diagonal/>
    </border>
    <border>
      <left style="thick">
        <color auto="1"/>
      </left>
      <right style="thick">
        <color auto="1"/>
      </right>
      <top style="medium">
        <color auto="1"/>
      </top>
      <bottom style="thick">
        <color auto="1"/>
      </bottom>
      <diagonal/>
    </border>
    <border>
      <left style="dashed">
        <color auto="1"/>
      </left>
      <right/>
      <top style="dashed">
        <color auto="1"/>
      </top>
      <bottom style="dashed">
        <color auto="1"/>
      </bottom>
      <diagonal/>
    </border>
    <border>
      <left style="thick">
        <color auto="1"/>
      </left>
      <right/>
      <top style="thick">
        <color auto="1"/>
      </top>
      <bottom/>
      <diagonal/>
    </border>
    <border>
      <left style="hair">
        <color auto="1"/>
      </left>
      <right/>
      <top style="hair">
        <color auto="1"/>
      </top>
      <bottom/>
      <diagonal/>
    </border>
    <border>
      <left style="thick">
        <color auto="1"/>
      </left>
      <right style="thick">
        <color auto="1"/>
      </right>
      <top style="dashed">
        <color auto="1"/>
      </top>
      <bottom style="hair">
        <color auto="1"/>
      </bottom>
      <diagonal/>
    </border>
    <border>
      <left style="thick">
        <color auto="1"/>
      </left>
      <right style="thick">
        <color auto="1"/>
      </right>
      <top style="hair">
        <color auto="1"/>
      </top>
      <bottom style="dashed">
        <color auto="1"/>
      </bottom>
      <diagonal/>
    </border>
    <border>
      <left style="thick">
        <color auto="1"/>
      </left>
      <right style="thick">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hair">
        <color auto="1"/>
      </top>
      <bottom style="thin">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n">
        <color auto="1"/>
      </bottom>
      <diagonal/>
    </border>
    <border>
      <left style="hair">
        <color auto="1"/>
      </left>
      <right style="hair">
        <color auto="1"/>
      </right>
      <top style="hair">
        <color auto="1"/>
      </top>
      <bottom style="dashed">
        <color auto="1"/>
      </bottom>
      <diagonal/>
    </border>
    <border>
      <left/>
      <right style="dashed">
        <color indexed="64"/>
      </right>
      <top/>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ck">
        <color auto="1"/>
      </left>
      <right style="thick">
        <color auto="1"/>
      </right>
      <top style="medium">
        <color auto="1"/>
      </top>
      <bottom/>
      <diagonal/>
    </border>
    <border>
      <left style="thick">
        <color indexed="64"/>
      </left>
      <right/>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bottom style="thin">
        <color indexed="64"/>
      </bottom>
      <diagonal/>
    </border>
    <border>
      <left style="thin">
        <color auto="1"/>
      </left>
      <right style="thin">
        <color auto="1"/>
      </right>
      <top style="thin">
        <color indexed="64"/>
      </top>
      <bottom style="double">
        <color auto="1"/>
      </bottom>
      <diagonal/>
    </border>
    <border>
      <left style="thin">
        <color auto="1"/>
      </left>
      <right style="double">
        <color auto="1"/>
      </right>
      <top style="thin">
        <color indexed="64"/>
      </top>
      <bottom style="double">
        <color auto="1"/>
      </bottom>
      <diagonal/>
    </border>
    <border>
      <left/>
      <right style="double">
        <color auto="1"/>
      </right>
      <top/>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indexed="64"/>
      </bottom>
      <diagonal/>
    </border>
    <border>
      <left/>
      <right style="thin">
        <color auto="1"/>
      </right>
      <top/>
      <bottom style="double">
        <color auto="1"/>
      </bottom>
      <diagonal/>
    </border>
    <border>
      <left/>
      <right style="thin">
        <color auto="1"/>
      </right>
      <top style="double">
        <color auto="1"/>
      </top>
      <bottom style="double">
        <color auto="1"/>
      </bottom>
      <diagonal/>
    </border>
    <border>
      <left/>
      <right style="thin">
        <color auto="1"/>
      </right>
      <top/>
      <bottom/>
      <diagonal/>
    </border>
    <border>
      <left style="double">
        <color auto="1"/>
      </left>
      <right style="thin">
        <color indexed="64"/>
      </right>
      <top style="double">
        <color auto="1"/>
      </top>
      <bottom style="double">
        <color auto="1"/>
      </bottom>
      <diagonal/>
    </border>
    <border>
      <left style="medium">
        <color auto="1"/>
      </left>
      <right style="thin">
        <color indexed="64"/>
      </right>
      <top style="double">
        <color indexed="64"/>
      </top>
      <bottom style="double">
        <color indexed="64"/>
      </bottom>
      <diagonal/>
    </border>
    <border>
      <left/>
      <right style="thin">
        <color auto="1"/>
      </right>
      <top style="double">
        <color auto="1"/>
      </top>
      <bottom/>
      <diagonal/>
    </border>
    <border>
      <left style="thin">
        <color auto="1"/>
      </left>
      <right/>
      <top/>
      <bottom style="double">
        <color indexed="64"/>
      </bottom>
      <diagonal/>
    </border>
    <border>
      <left style="thin">
        <color auto="1"/>
      </left>
      <right style="double">
        <color auto="1"/>
      </right>
      <top style="double">
        <color auto="1"/>
      </top>
      <bottom/>
      <diagonal/>
    </border>
    <border>
      <left/>
      <right style="thin">
        <color indexed="64"/>
      </right>
      <top style="thin">
        <color auto="1"/>
      </top>
      <bottom style="double">
        <color auto="1"/>
      </bottom>
      <diagonal/>
    </border>
    <border>
      <left/>
      <right style="thin">
        <color indexed="64"/>
      </right>
      <top/>
      <bottom style="thin">
        <color auto="1"/>
      </bottom>
      <diagonal/>
    </border>
    <border>
      <left/>
      <right style="thin">
        <color indexed="64"/>
      </right>
      <top style="thin">
        <color auto="1"/>
      </top>
      <bottom/>
      <diagonal/>
    </border>
    <border>
      <left/>
      <right/>
      <top style="double">
        <color indexed="64"/>
      </top>
      <bottom/>
      <diagonal/>
    </border>
    <border>
      <left/>
      <right style="double">
        <color auto="1"/>
      </right>
      <top/>
      <bottom style="thin">
        <color indexed="64"/>
      </bottom>
      <diagonal/>
    </border>
    <border>
      <left style="thin">
        <color auto="1"/>
      </left>
      <right style="double">
        <color auto="1"/>
      </right>
      <top style="thin">
        <color indexed="64"/>
      </top>
      <bottom/>
      <diagonal/>
    </border>
    <border>
      <left/>
      <right style="double">
        <color indexed="64"/>
      </right>
      <top style="double">
        <color auto="1"/>
      </top>
      <bottom/>
      <diagonal/>
    </border>
    <border>
      <left/>
      <right/>
      <top style="double">
        <color indexed="64"/>
      </top>
      <bottom style="double">
        <color indexed="64"/>
      </bottom>
      <diagonal/>
    </border>
    <border>
      <left style="thin">
        <color auto="1"/>
      </left>
      <right/>
      <top style="thin">
        <color auto="1"/>
      </top>
      <bottom style="double">
        <color indexed="64"/>
      </bottom>
      <diagonal/>
    </border>
    <border>
      <left style="double">
        <color auto="1"/>
      </left>
      <right style="thin">
        <color indexed="64"/>
      </right>
      <top style="double">
        <color auto="1"/>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auto="1"/>
      </left>
      <right style="medium">
        <color auto="1"/>
      </right>
      <top style="double">
        <color indexed="64"/>
      </top>
      <bottom style="medium">
        <color auto="1"/>
      </bottom>
      <diagonal/>
    </border>
    <border>
      <left/>
      <right style="medium">
        <color auto="1"/>
      </right>
      <top style="double">
        <color indexed="64"/>
      </top>
      <bottom style="medium">
        <color auto="1"/>
      </bottom>
      <diagonal/>
    </border>
    <border>
      <left style="double">
        <color indexed="64"/>
      </left>
      <right style="double">
        <color indexed="64"/>
      </right>
      <top style="double">
        <color indexed="64"/>
      </top>
      <bottom style="double">
        <color indexed="64"/>
      </bottom>
      <diagonal/>
    </border>
    <border>
      <left/>
      <right style="double">
        <color indexed="64"/>
      </right>
      <top style="thin">
        <color auto="1"/>
      </top>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auto="1"/>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auto="1"/>
      </left>
      <right style="medium">
        <color indexed="64"/>
      </right>
      <top/>
      <bottom style="thin">
        <color indexed="64"/>
      </bottom>
      <diagonal/>
    </border>
    <border>
      <left style="double">
        <color indexed="64"/>
      </left>
      <right style="dashDot">
        <color indexed="64"/>
      </right>
      <top/>
      <bottom/>
      <diagonal/>
    </border>
    <border>
      <left style="double">
        <color indexed="64"/>
      </left>
      <right style="dashDot">
        <color indexed="64"/>
      </right>
      <top style="thin">
        <color auto="1"/>
      </top>
      <bottom/>
      <diagonal/>
    </border>
    <border>
      <left style="double">
        <color indexed="64"/>
      </left>
      <right style="dashDot">
        <color indexed="64"/>
      </right>
      <top/>
      <bottom style="double">
        <color indexed="64"/>
      </bottom>
      <diagonal/>
    </border>
    <border>
      <left style="double">
        <color indexed="64"/>
      </left>
      <right style="dashDot">
        <color indexed="64"/>
      </right>
      <top/>
      <bottom style="thin">
        <color auto="1"/>
      </bottom>
      <diagonal/>
    </border>
    <border>
      <left style="double">
        <color indexed="64"/>
      </left>
      <right style="dashDot">
        <color indexed="64"/>
      </right>
      <top style="double">
        <color indexed="64"/>
      </top>
      <bottom style="medium">
        <color auto="1"/>
      </bottom>
      <diagonal/>
    </border>
    <border>
      <left style="double">
        <color indexed="64"/>
      </left>
      <right style="dashDot">
        <color indexed="64"/>
      </right>
      <top style="medium">
        <color auto="1"/>
      </top>
      <bottom style="medium">
        <color auto="1"/>
      </bottom>
      <diagonal/>
    </border>
    <border>
      <left style="dashDot">
        <color indexed="64"/>
      </left>
      <right style="dashDot">
        <color indexed="64"/>
      </right>
      <top/>
      <bottom/>
      <diagonal/>
    </border>
    <border>
      <left style="dashDot">
        <color indexed="64"/>
      </left>
      <right style="dashDot">
        <color indexed="64"/>
      </right>
      <top style="thin">
        <color auto="1"/>
      </top>
      <bottom/>
      <diagonal/>
    </border>
    <border>
      <left style="dashDot">
        <color indexed="64"/>
      </left>
      <right style="dashDot">
        <color indexed="64"/>
      </right>
      <top/>
      <bottom style="double">
        <color indexed="64"/>
      </bottom>
      <diagonal/>
    </border>
    <border>
      <left style="dashDot">
        <color indexed="64"/>
      </left>
      <right style="dashDot">
        <color indexed="64"/>
      </right>
      <top/>
      <bottom style="thin">
        <color indexed="64"/>
      </bottom>
      <diagonal/>
    </border>
    <border>
      <left style="dashDot">
        <color indexed="64"/>
      </left>
      <right style="dashDot">
        <color indexed="64"/>
      </right>
      <top style="double">
        <color indexed="64"/>
      </top>
      <bottom style="medium">
        <color indexed="64"/>
      </bottom>
      <diagonal/>
    </border>
    <border>
      <left style="dashDot">
        <color indexed="64"/>
      </left>
      <right style="dashDot">
        <color indexed="64"/>
      </right>
      <top style="medium">
        <color indexed="64"/>
      </top>
      <bottom style="medium">
        <color indexed="64"/>
      </bottom>
      <diagonal/>
    </border>
    <border>
      <left/>
      <right style="dashDot">
        <color indexed="64"/>
      </right>
      <top style="thin">
        <color auto="1"/>
      </top>
      <bottom/>
      <diagonal/>
    </border>
    <border>
      <left/>
      <right style="dashDot">
        <color indexed="64"/>
      </right>
      <top/>
      <bottom style="double">
        <color indexed="64"/>
      </bottom>
      <diagonal/>
    </border>
    <border>
      <left/>
      <right style="dashDot">
        <color indexed="64"/>
      </right>
      <top/>
      <bottom/>
      <diagonal/>
    </border>
    <border>
      <left/>
      <right style="dashDot">
        <color indexed="64"/>
      </right>
      <top/>
      <bottom style="thin">
        <color indexed="64"/>
      </bottom>
      <diagonal/>
    </border>
    <border>
      <left/>
      <right style="dashDot">
        <color indexed="64"/>
      </right>
      <top style="double">
        <color indexed="64"/>
      </top>
      <bottom style="medium">
        <color indexed="64"/>
      </bottom>
      <diagonal/>
    </border>
    <border>
      <left/>
      <right style="dashDot">
        <color indexed="64"/>
      </right>
      <top style="medium">
        <color indexed="64"/>
      </top>
      <bottom style="medium">
        <color indexed="64"/>
      </bottom>
      <diagonal/>
    </border>
    <border>
      <left style="medium">
        <color indexed="64"/>
      </left>
      <right style="dashDot">
        <color indexed="64"/>
      </right>
      <top/>
      <bottom/>
      <diagonal/>
    </border>
    <border>
      <left style="medium">
        <color indexed="64"/>
      </left>
      <right style="dashDot">
        <color indexed="64"/>
      </right>
      <top style="thin">
        <color auto="1"/>
      </top>
      <bottom/>
      <diagonal/>
    </border>
    <border>
      <left style="medium">
        <color indexed="64"/>
      </left>
      <right style="dashDot">
        <color indexed="64"/>
      </right>
      <top/>
      <bottom style="double">
        <color indexed="64"/>
      </bottom>
      <diagonal/>
    </border>
    <border>
      <left style="medium">
        <color indexed="64"/>
      </left>
      <right style="dashDot">
        <color indexed="64"/>
      </right>
      <top/>
      <bottom style="thin">
        <color auto="1"/>
      </bottom>
      <diagonal/>
    </border>
    <border>
      <left style="medium">
        <color indexed="64"/>
      </left>
      <right style="dashDot">
        <color indexed="64"/>
      </right>
      <top style="double">
        <color indexed="64"/>
      </top>
      <bottom style="medium">
        <color auto="1"/>
      </bottom>
      <diagonal/>
    </border>
    <border>
      <left style="medium">
        <color indexed="64"/>
      </left>
      <right style="dashDot">
        <color indexed="64"/>
      </right>
      <top style="medium">
        <color auto="1"/>
      </top>
      <bottom style="medium">
        <color auto="1"/>
      </bottom>
      <diagonal/>
    </border>
    <border>
      <left style="medium">
        <color indexed="64"/>
      </left>
      <right style="medium">
        <color indexed="64"/>
      </right>
      <top style="thin">
        <color auto="1"/>
      </top>
      <bottom/>
      <diagonal/>
    </border>
    <border>
      <left style="medium">
        <color auto="1"/>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double">
        <color indexed="64"/>
      </top>
      <bottom/>
      <diagonal/>
    </border>
    <border>
      <left/>
      <right style="medium">
        <color auto="1"/>
      </right>
      <top style="double">
        <color indexed="64"/>
      </top>
      <bottom/>
      <diagonal/>
    </border>
    <border>
      <left style="double">
        <color indexed="64"/>
      </left>
      <right style="double">
        <color indexed="64"/>
      </right>
      <top style="double">
        <color indexed="64"/>
      </top>
      <bottom/>
      <diagonal/>
    </border>
    <border>
      <left style="medium">
        <color auto="1"/>
      </left>
      <right style="dashDot">
        <color indexed="64"/>
      </right>
      <top style="double">
        <color indexed="64"/>
      </top>
      <bottom style="double">
        <color indexed="64"/>
      </bottom>
      <diagonal/>
    </border>
    <border>
      <left style="dashDot">
        <color indexed="64"/>
      </left>
      <right style="medium">
        <color auto="1"/>
      </right>
      <top style="double">
        <color indexed="64"/>
      </top>
      <bottom style="double">
        <color indexed="64"/>
      </bottom>
      <diagonal/>
    </border>
    <border>
      <left style="dashDot">
        <color indexed="64"/>
      </left>
      <right/>
      <top style="double">
        <color indexed="64"/>
      </top>
      <bottom style="double">
        <color indexed="64"/>
      </bottom>
      <diagonal/>
    </border>
    <border>
      <left style="dashDot">
        <color indexed="64"/>
      </left>
      <right style="double">
        <color indexed="64"/>
      </right>
      <top style="double">
        <color auto="1"/>
      </top>
      <bottom style="double">
        <color indexed="64"/>
      </bottom>
      <diagonal/>
    </border>
    <border>
      <left style="dashed">
        <color auto="1"/>
      </left>
      <right/>
      <top/>
      <bottom style="thin">
        <color indexed="64"/>
      </bottom>
      <diagonal/>
    </border>
    <border>
      <left style="dashed">
        <color indexed="64"/>
      </left>
      <right style="thick">
        <color auto="1"/>
      </right>
      <top/>
      <bottom style="thin">
        <color auto="1"/>
      </bottom>
      <diagonal/>
    </border>
    <border>
      <left/>
      <right style="thick">
        <color auto="1"/>
      </right>
      <top/>
      <bottom style="dashed">
        <color auto="1"/>
      </bottom>
      <diagonal/>
    </border>
    <border>
      <left style="thick">
        <color indexed="64"/>
      </left>
      <right/>
      <top style="hair">
        <color auto="1"/>
      </top>
      <bottom style="hair">
        <color auto="1"/>
      </bottom>
      <diagonal/>
    </border>
    <border>
      <left style="hair">
        <color auto="1"/>
      </left>
      <right style="hair">
        <color auto="1"/>
      </right>
      <top/>
      <bottom style="hair">
        <color auto="1"/>
      </bottom>
      <diagonal/>
    </border>
    <border>
      <left style="hair">
        <color auto="1"/>
      </left>
      <right/>
      <top/>
      <bottom/>
      <diagonal/>
    </border>
    <border>
      <left style="thick">
        <color indexed="64"/>
      </left>
      <right/>
      <top/>
      <bottom style="hair">
        <color auto="1"/>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style="thin">
        <color auto="1"/>
      </top>
      <bottom style="double">
        <color indexed="64"/>
      </bottom>
      <diagonal/>
    </border>
    <border>
      <left style="thin">
        <color auto="1"/>
      </left>
      <right/>
      <top style="double">
        <color auto="1"/>
      </top>
      <bottom/>
      <diagonal/>
    </border>
    <border>
      <left style="thin">
        <color auto="1"/>
      </left>
      <right/>
      <top style="double">
        <color auto="1"/>
      </top>
      <bottom style="double">
        <color indexed="64"/>
      </bottom>
      <diagonal/>
    </border>
    <border>
      <left/>
      <right style="thin">
        <color indexed="64"/>
      </right>
      <top style="medium">
        <color indexed="64"/>
      </top>
      <bottom/>
      <diagonal/>
    </border>
  </borders>
  <cellStyleXfs count="134">
    <xf numFmtId="0" fontId="0" fillId="0" borderId="0"/>
    <xf numFmtId="43" fontId="1" fillId="0" borderId="0" applyFont="0" applyFill="0" applyBorder="0" applyAlignment="0" applyProtection="0"/>
    <xf numFmtId="0" fontId="2" fillId="2" borderId="0" applyNumberFormat="0" applyBorder="0" applyAlignment="0" applyProtection="0"/>
    <xf numFmtId="0" fontId="2" fillId="0" borderId="0"/>
    <xf numFmtId="0" fontId="1" fillId="0" borderId="0"/>
    <xf numFmtId="0" fontId="1" fillId="0" borderId="0"/>
    <xf numFmtId="0" fontId="1" fillId="8" borderId="0" applyNumberFormat="0" applyBorder="0" applyAlignment="0" applyProtection="0"/>
    <xf numFmtId="0" fontId="1" fillId="0" borderId="0"/>
    <xf numFmtId="0" fontId="4"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37" fontId="4" fillId="0" borderId="0"/>
    <xf numFmtId="169" fontId="39" fillId="13" borderId="0" applyFill="0" applyProtection="0">
      <alignment horizontal="center" vertical="center"/>
    </xf>
    <xf numFmtId="171" fontId="1" fillId="0" borderId="0" applyFont="0" applyFill="0" applyBorder="0" applyAlignment="0" applyProtection="0"/>
    <xf numFmtId="0" fontId="4" fillId="0" borderId="0"/>
    <xf numFmtId="0" fontId="4" fillId="0" borderId="0"/>
  </cellStyleXfs>
  <cellXfs count="923">
    <xf numFmtId="0" fontId="0" fillId="0" borderId="0" xfId="0"/>
    <xf numFmtId="0" fontId="8" fillId="7" borderId="0" xfId="0" applyFont="1" applyFill="1" applyProtection="1">
      <protection locked="0"/>
    </xf>
    <xf numFmtId="0" fontId="8" fillId="0" borderId="0" xfId="0" applyFont="1" applyProtection="1">
      <protection locked="0"/>
    </xf>
    <xf numFmtId="0" fontId="13" fillId="5" borderId="34" xfId="8" applyFont="1" applyFill="1" applyBorder="1" applyAlignment="1" applyProtection="1">
      <alignment horizontal="left" wrapText="1" indent="6"/>
      <protection locked="0"/>
    </xf>
    <xf numFmtId="0" fontId="13" fillId="7" borderId="43" xfId="8" applyFont="1" applyFill="1" applyBorder="1" applyAlignment="1" applyProtection="1">
      <alignment horizontal="left" wrapText="1" indent="6"/>
      <protection locked="0"/>
    </xf>
    <xf numFmtId="0" fontId="10" fillId="7" borderId="0" xfId="0" applyFont="1" applyFill="1" applyProtection="1">
      <protection locked="0"/>
    </xf>
    <xf numFmtId="0" fontId="13" fillId="7" borderId="61" xfId="8" applyFont="1" applyFill="1" applyBorder="1" applyAlignment="1" applyProtection="1">
      <alignment horizontal="left" wrapText="1" indent="6"/>
      <protection locked="0"/>
    </xf>
    <xf numFmtId="0" fontId="10" fillId="7" borderId="0" xfId="0" applyFont="1" applyFill="1" applyAlignment="1" applyProtection="1">
      <alignment horizontal="center" vertical="center" wrapText="1"/>
      <protection locked="0"/>
    </xf>
    <xf numFmtId="0" fontId="10" fillId="7" borderId="0" xfId="0" applyFont="1" applyFill="1" applyAlignment="1" applyProtection="1">
      <alignment horizontal="left" vertical="center"/>
      <protection locked="0"/>
    </xf>
    <xf numFmtId="49" fontId="11" fillId="6" borderId="17" xfId="1" applyNumberFormat="1" applyFont="1" applyFill="1" applyBorder="1" applyAlignment="1" applyProtection="1">
      <alignment vertical="center" wrapText="1"/>
      <protection locked="0"/>
    </xf>
    <xf numFmtId="49" fontId="9" fillId="4" borderId="18" xfId="4" applyNumberFormat="1" applyFont="1" applyFill="1" applyBorder="1" applyAlignment="1" applyProtection="1">
      <alignment horizontal="right" vertical="center" wrapText="1"/>
      <protection locked="0"/>
    </xf>
    <xf numFmtId="49" fontId="8" fillId="7" borderId="59" xfId="1" applyNumberFormat="1" applyFont="1" applyFill="1" applyBorder="1" applyAlignment="1" applyProtection="1">
      <alignment horizontal="right" vertical="center" wrapText="1"/>
      <protection locked="0"/>
    </xf>
    <xf numFmtId="49" fontId="8" fillId="7" borderId="60" xfId="1" applyNumberFormat="1" applyFont="1" applyFill="1" applyBorder="1" applyAlignment="1" applyProtection="1">
      <alignment horizontal="right" vertical="center" wrapText="1"/>
      <protection locked="0"/>
    </xf>
    <xf numFmtId="49" fontId="11" fillId="3" borderId="37" xfId="1" applyNumberFormat="1" applyFont="1" applyFill="1" applyBorder="1" applyAlignment="1" applyProtection="1">
      <alignment horizontal="left" vertical="center" wrapText="1"/>
      <protection locked="0"/>
    </xf>
    <xf numFmtId="49" fontId="8" fillId="5" borderId="41" xfId="1" applyNumberFormat="1" applyFont="1" applyFill="1" applyBorder="1" applyAlignment="1" applyProtection="1">
      <alignment vertical="center" wrapText="1"/>
      <protection locked="0"/>
    </xf>
    <xf numFmtId="49" fontId="8" fillId="5" borderId="36" xfId="1" applyNumberFormat="1" applyFont="1" applyFill="1" applyBorder="1" applyAlignment="1" applyProtection="1">
      <alignment vertical="center" wrapText="1"/>
      <protection locked="0"/>
    </xf>
    <xf numFmtId="0" fontId="8" fillId="7" borderId="64" xfId="0" applyFont="1" applyFill="1" applyBorder="1" applyProtection="1">
      <protection locked="0"/>
    </xf>
    <xf numFmtId="167" fontId="17" fillId="0" borderId="0" xfId="1" applyNumberFormat="1" applyFont="1"/>
    <xf numFmtId="49" fontId="9" fillId="4" borderId="38" xfId="4" applyNumberFormat="1" applyFont="1" applyFill="1" applyBorder="1" applyAlignment="1" applyProtection="1">
      <alignment horizontal="right" vertical="center" wrapText="1"/>
      <protection locked="0"/>
    </xf>
    <xf numFmtId="49" fontId="10" fillId="4" borderId="38" xfId="1" applyNumberFormat="1" applyFont="1" applyFill="1" applyBorder="1" applyAlignment="1" applyProtection="1">
      <alignment horizontal="left" vertical="center" wrapText="1"/>
      <protection locked="0"/>
    </xf>
    <xf numFmtId="49" fontId="8" fillId="5" borderId="35" xfId="1" applyNumberFormat="1" applyFont="1" applyFill="1" applyBorder="1" applyAlignment="1" applyProtection="1">
      <alignment vertical="center" wrapText="1"/>
      <protection locked="0"/>
    </xf>
    <xf numFmtId="49" fontId="11" fillId="6" borderId="19" xfId="1" applyNumberFormat="1" applyFont="1" applyFill="1" applyBorder="1" applyAlignment="1" applyProtection="1">
      <alignment vertical="center" wrapText="1"/>
      <protection locked="0"/>
    </xf>
    <xf numFmtId="49" fontId="8" fillId="5" borderId="44" xfId="1" applyNumberFormat="1" applyFont="1" applyFill="1" applyBorder="1" applyAlignment="1" applyProtection="1">
      <alignment vertical="center" wrapText="1"/>
      <protection locked="0"/>
    </xf>
    <xf numFmtId="49" fontId="17" fillId="0" borderId="0" xfId="1" applyNumberFormat="1" applyFont="1" applyAlignment="1">
      <alignment horizontal="right"/>
    </xf>
    <xf numFmtId="166" fontId="8" fillId="7" borderId="69" xfId="1" applyNumberFormat="1" applyFont="1" applyFill="1" applyBorder="1" applyAlignment="1" applyProtection="1">
      <alignment vertical="center" wrapText="1"/>
      <protection locked="0"/>
    </xf>
    <xf numFmtId="49" fontId="11" fillId="3" borderId="71" xfId="1" applyNumberFormat="1" applyFont="1" applyFill="1" applyBorder="1" applyAlignment="1" applyProtection="1">
      <alignment horizontal="left" vertical="center" wrapText="1"/>
      <protection locked="0"/>
    </xf>
    <xf numFmtId="1" fontId="8" fillId="7" borderId="74" xfId="1" applyNumberFormat="1" applyFont="1" applyFill="1" applyBorder="1" applyAlignment="1" applyProtection="1">
      <alignment horizontal="right" vertical="center" wrapText="1"/>
      <protection locked="0"/>
    </xf>
    <xf numFmtId="1" fontId="8" fillId="7" borderId="75" xfId="1" applyNumberFormat="1" applyFont="1" applyFill="1" applyBorder="1" applyAlignment="1" applyProtection="1">
      <alignment horizontal="right" vertical="center" wrapText="1"/>
      <protection locked="0"/>
    </xf>
    <xf numFmtId="49" fontId="8" fillId="7" borderId="70" xfId="1" applyNumberFormat="1" applyFont="1" applyFill="1" applyBorder="1" applyAlignment="1" applyProtection="1">
      <alignment horizontal="right" vertical="center" wrapText="1"/>
      <protection locked="0"/>
    </xf>
    <xf numFmtId="0" fontId="15" fillId="7" borderId="1" xfId="0" applyFont="1" applyFill="1" applyBorder="1"/>
    <xf numFmtId="167" fontId="25" fillId="0" borderId="0" xfId="1" applyNumberFormat="1" applyFont="1"/>
    <xf numFmtId="1" fontId="11" fillId="6" borderId="17" xfId="1" applyNumberFormat="1" applyFont="1" applyFill="1" applyBorder="1" applyAlignment="1">
      <alignment horizontal="center" vertical="center" wrapText="1"/>
    </xf>
    <xf numFmtId="1" fontId="11" fillId="3" borderId="14" xfId="1" applyNumberFormat="1" applyFont="1" applyFill="1" applyBorder="1" applyAlignment="1">
      <alignment horizontal="center" vertical="center" wrapText="1"/>
    </xf>
    <xf numFmtId="1" fontId="9" fillId="4" borderId="1" xfId="4" applyNumberFormat="1" applyFont="1" applyFill="1" applyBorder="1" applyAlignment="1">
      <alignment horizontal="center" vertical="center" wrapText="1"/>
    </xf>
    <xf numFmtId="1" fontId="8" fillId="5" borderId="34" xfId="1" applyNumberFormat="1" applyFont="1" applyFill="1" applyBorder="1" applyAlignment="1">
      <alignment horizontal="center" vertical="center" wrapText="1"/>
    </xf>
    <xf numFmtId="1" fontId="8" fillId="7" borderId="43" xfId="1" applyNumberFormat="1" applyFont="1" applyFill="1" applyBorder="1" applyAlignment="1">
      <alignment horizontal="center" vertical="center" wrapText="1"/>
    </xf>
    <xf numFmtId="0" fontId="11" fillId="6" borderId="19" xfId="6" applyFont="1" applyFill="1" applyBorder="1" applyAlignment="1">
      <alignment vertical="center" wrapText="1"/>
    </xf>
    <xf numFmtId="0" fontId="11" fillId="3" borderId="14" xfId="4" applyFont="1" applyFill="1" applyBorder="1" applyAlignment="1">
      <alignment horizontal="left" vertical="center" wrapText="1" indent="2"/>
    </xf>
    <xf numFmtId="0" fontId="9" fillId="4" borderId="1" xfId="4" applyFont="1" applyFill="1" applyBorder="1" applyAlignment="1">
      <alignment horizontal="left" vertical="center" wrapText="1" indent="4"/>
    </xf>
    <xf numFmtId="0" fontId="13" fillId="5" borderId="34" xfId="8" applyFont="1" applyFill="1" applyBorder="1" applyAlignment="1">
      <alignment horizontal="left" wrapText="1" indent="6"/>
    </xf>
    <xf numFmtId="0" fontId="13" fillId="7" borderId="43" xfId="8" applyFont="1" applyFill="1" applyBorder="1" applyAlignment="1">
      <alignment horizontal="left" wrapText="1" indent="6"/>
    </xf>
    <xf numFmtId="0" fontId="11" fillId="3" borderId="15" xfId="4" applyFont="1" applyFill="1" applyBorder="1" applyAlignment="1">
      <alignment horizontal="left" vertical="center" wrapText="1" indent="2"/>
    </xf>
    <xf numFmtId="49" fontId="17" fillId="0" borderId="0" xfId="1" applyNumberFormat="1" applyFont="1" applyAlignment="1">
      <alignment horizontal="center"/>
    </xf>
    <xf numFmtId="0" fontId="17" fillId="0" borderId="0" xfId="1" applyNumberFormat="1" applyFont="1" applyAlignment="1">
      <alignment horizontal="center"/>
    </xf>
    <xf numFmtId="2" fontId="17" fillId="0" borderId="0" xfId="1" applyNumberFormat="1" applyFont="1" applyAlignment="1">
      <alignment horizontal="center" vertical="center"/>
    </xf>
    <xf numFmtId="1" fontId="17" fillId="0" borderId="0" xfId="1" applyNumberFormat="1" applyFont="1" applyAlignment="1">
      <alignment horizontal="center" vertical="center"/>
    </xf>
    <xf numFmtId="1" fontId="25" fillId="0" borderId="0" xfId="1" applyNumberFormat="1" applyFont="1" applyAlignment="1">
      <alignment horizontal="center" vertical="center"/>
    </xf>
    <xf numFmtId="49" fontId="17" fillId="0" borderId="0" xfId="1" applyNumberFormat="1" applyFont="1" applyAlignment="1">
      <alignment horizontal="center" vertical="center"/>
    </xf>
    <xf numFmtId="0" fontId="17" fillId="0" borderId="0" xfId="1" applyNumberFormat="1" applyFont="1" applyAlignment="1">
      <alignment horizontal="center" vertical="center"/>
    </xf>
    <xf numFmtId="0" fontId="7" fillId="7" borderId="1" xfId="0" applyFont="1" applyFill="1" applyBorder="1" applyAlignment="1">
      <alignment horizontal="center" vertical="center"/>
    </xf>
    <xf numFmtId="0" fontId="13" fillId="5" borderId="34" xfId="8" applyFont="1" applyFill="1" applyBorder="1" applyAlignment="1">
      <alignment horizontal="left" vertical="center" wrapText="1" indent="6"/>
    </xf>
    <xf numFmtId="2" fontId="8" fillId="7" borderId="0" xfId="1" applyNumberFormat="1" applyFont="1" applyFill="1" applyAlignment="1">
      <alignment horizontal="center" vertical="center" wrapText="1"/>
    </xf>
    <xf numFmtId="1" fontId="8" fillId="7" borderId="61" xfId="1" applyNumberFormat="1" applyFont="1" applyFill="1" applyBorder="1" applyAlignment="1">
      <alignment horizontal="center" vertical="center" wrapText="1"/>
    </xf>
    <xf numFmtId="1" fontId="8" fillId="7" borderId="62" xfId="1" applyNumberFormat="1" applyFont="1" applyFill="1" applyBorder="1" applyAlignment="1">
      <alignment horizontal="center" vertical="center" wrapText="1"/>
    </xf>
    <xf numFmtId="1" fontId="8" fillId="7" borderId="39" xfId="1" applyNumberFormat="1" applyFont="1" applyFill="1" applyBorder="1" applyAlignment="1">
      <alignment horizontal="center" vertical="center" wrapText="1"/>
    </xf>
    <xf numFmtId="1" fontId="8" fillId="7" borderId="73" xfId="1" applyNumberFormat="1" applyFont="1" applyFill="1" applyBorder="1" applyAlignment="1">
      <alignment horizontal="center" vertical="center" wrapText="1"/>
    </xf>
    <xf numFmtId="49" fontId="11" fillId="3" borderId="81" xfId="1" applyNumberFormat="1" applyFont="1" applyFill="1" applyBorder="1" applyAlignment="1" applyProtection="1">
      <alignment horizontal="left" vertical="center" wrapText="1"/>
      <protection locked="0"/>
    </xf>
    <xf numFmtId="49" fontId="11" fillId="6" borderId="65" xfId="1" applyNumberFormat="1" applyFont="1" applyFill="1" applyBorder="1" applyAlignment="1" applyProtection="1">
      <alignment horizontal="left" vertical="center" wrapText="1"/>
      <protection locked="0"/>
    </xf>
    <xf numFmtId="165" fontId="10" fillId="7" borderId="1" xfId="127" applyFont="1" applyFill="1" applyBorder="1"/>
    <xf numFmtId="165" fontId="8" fillId="7" borderId="2" xfId="127" applyFont="1" applyFill="1" applyBorder="1"/>
    <xf numFmtId="165" fontId="8" fillId="7" borderId="3" xfId="127" applyFont="1" applyFill="1" applyBorder="1"/>
    <xf numFmtId="1" fontId="11" fillId="9" borderId="55"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8" fillId="7" borderId="82" xfId="0" applyFont="1" applyFill="1" applyBorder="1" applyProtection="1">
      <protection locked="0"/>
    </xf>
    <xf numFmtId="1" fontId="11" fillId="6" borderId="28" xfId="1" applyNumberFormat="1" applyFont="1" applyFill="1" applyBorder="1" applyAlignment="1">
      <alignment horizontal="center" vertical="center" wrapText="1"/>
    </xf>
    <xf numFmtId="1" fontId="11" fillId="9" borderId="53" xfId="0" applyNumberFormat="1" applyFont="1" applyFill="1" applyBorder="1" applyAlignment="1" applyProtection="1">
      <alignment horizontal="center" vertical="center"/>
      <protection locked="0"/>
    </xf>
    <xf numFmtId="1" fontId="11" fillId="9" borderId="49" xfId="0" applyNumberFormat="1" applyFont="1" applyFill="1" applyBorder="1" applyAlignment="1" applyProtection="1">
      <alignment horizontal="center" vertical="center"/>
      <protection locked="0"/>
    </xf>
    <xf numFmtId="1" fontId="11" fillId="9" borderId="56" xfId="0" applyNumberFormat="1" applyFont="1" applyFill="1" applyBorder="1" applyAlignment="1" applyProtection="1">
      <alignment horizontal="center" vertical="center"/>
      <protection locked="0"/>
    </xf>
    <xf numFmtId="0" fontId="11" fillId="6" borderId="19" xfId="6" applyFont="1" applyFill="1" applyBorder="1" applyAlignment="1" applyProtection="1">
      <alignment horizontal="center" vertical="center" wrapText="1"/>
      <protection locked="0"/>
    </xf>
    <xf numFmtId="0" fontId="10" fillId="7" borderId="1" xfId="0" applyFont="1" applyFill="1" applyBorder="1" applyProtection="1">
      <protection locked="0"/>
    </xf>
    <xf numFmtId="0" fontId="8" fillId="7" borderId="4" xfId="0" applyFont="1" applyFill="1" applyBorder="1" applyProtection="1">
      <protection locked="0"/>
    </xf>
    <xf numFmtId="0" fontId="8" fillId="7" borderId="5" xfId="0" applyFont="1" applyFill="1" applyBorder="1" applyProtection="1">
      <protection locked="0"/>
    </xf>
    <xf numFmtId="0" fontId="15" fillId="7" borderId="106" xfId="0" applyFont="1" applyFill="1" applyBorder="1"/>
    <xf numFmtId="0" fontId="15" fillId="7" borderId="3" xfId="0" applyFont="1" applyFill="1" applyBorder="1"/>
    <xf numFmtId="0" fontId="8" fillId="7" borderId="87" xfId="0" applyFont="1" applyFill="1" applyBorder="1" applyProtection="1">
      <protection locked="0"/>
    </xf>
    <xf numFmtId="0" fontId="8" fillId="7" borderId="8" xfId="0" applyFont="1" applyFill="1" applyBorder="1" applyProtection="1">
      <protection locked="0"/>
    </xf>
    <xf numFmtId="0" fontId="15" fillId="4" borderId="98" xfId="0" applyFont="1" applyFill="1" applyBorder="1"/>
    <xf numFmtId="0" fontId="15" fillId="7" borderId="83" xfId="0" applyFont="1" applyFill="1" applyBorder="1"/>
    <xf numFmtId="0" fontId="15" fillId="7" borderId="97" xfId="0" applyFont="1" applyFill="1" applyBorder="1"/>
    <xf numFmtId="0" fontId="15" fillId="7" borderId="105" xfId="0" applyFont="1" applyFill="1" applyBorder="1"/>
    <xf numFmtId="0" fontId="15" fillId="7" borderId="90" xfId="0" applyFont="1" applyFill="1" applyBorder="1"/>
    <xf numFmtId="164" fontId="15" fillId="7" borderId="1" xfId="128" applyFont="1" applyFill="1" applyBorder="1"/>
    <xf numFmtId="164" fontId="12" fillId="5" borderId="11" xfId="128" applyFont="1" applyFill="1" applyBorder="1"/>
    <xf numFmtId="164" fontId="15" fillId="7" borderId="3" xfId="128" applyFont="1" applyFill="1" applyBorder="1"/>
    <xf numFmtId="164" fontId="12" fillId="4" borderId="11" xfId="128" applyFont="1" applyFill="1" applyBorder="1"/>
    <xf numFmtId="164" fontId="12" fillId="5" borderId="10" xfId="128" applyFont="1" applyFill="1" applyBorder="1"/>
    <xf numFmtId="164" fontId="15" fillId="7" borderId="97" xfId="128" applyFont="1" applyFill="1" applyBorder="1"/>
    <xf numFmtId="164" fontId="15" fillId="7" borderId="106" xfId="128" applyFont="1" applyFill="1" applyBorder="1"/>
    <xf numFmtId="164" fontId="12" fillId="5" borderId="8" xfId="128" applyFont="1" applyFill="1" applyBorder="1"/>
    <xf numFmtId="164" fontId="15" fillId="7" borderId="90" xfId="128" applyFont="1" applyFill="1" applyBorder="1"/>
    <xf numFmtId="164" fontId="15" fillId="5" borderId="8" xfId="128" applyFont="1" applyFill="1" applyBorder="1" applyAlignment="1">
      <alignment horizontal="center"/>
    </xf>
    <xf numFmtId="164" fontId="15" fillId="7" borderId="91" xfId="128" applyFont="1" applyFill="1" applyBorder="1"/>
    <xf numFmtId="164" fontId="12" fillId="5" borderId="12" xfId="128" applyFont="1" applyFill="1" applyBorder="1"/>
    <xf numFmtId="164" fontId="12" fillId="4" borderId="12" xfId="128" applyFont="1" applyFill="1" applyBorder="1"/>
    <xf numFmtId="164" fontId="15" fillId="7" borderId="93" xfId="128" applyFont="1" applyFill="1" applyBorder="1"/>
    <xf numFmtId="164" fontId="12" fillId="5" borderId="9" xfId="128" applyFont="1" applyFill="1" applyBorder="1"/>
    <xf numFmtId="164" fontId="15" fillId="7" borderId="113" xfId="128" applyFont="1" applyFill="1" applyBorder="1"/>
    <xf numFmtId="164" fontId="15" fillId="7" borderId="83" xfId="128" applyFont="1" applyFill="1" applyBorder="1"/>
    <xf numFmtId="164" fontId="15" fillId="7" borderId="103" xfId="128" applyFont="1" applyFill="1" applyBorder="1"/>
    <xf numFmtId="164" fontId="15" fillId="7" borderId="84" xfId="128" applyFont="1" applyFill="1" applyBorder="1"/>
    <xf numFmtId="164" fontId="12" fillId="5" borderId="7" xfId="128" applyFont="1" applyFill="1" applyBorder="1"/>
    <xf numFmtId="1" fontId="15" fillId="7" borderId="1" xfId="0" applyNumberFormat="1" applyFont="1" applyFill="1" applyBorder="1" applyAlignment="1">
      <alignment horizontal="right"/>
    </xf>
    <xf numFmtId="1" fontId="8" fillId="7" borderId="8" xfId="0" applyNumberFormat="1" applyFont="1" applyFill="1" applyBorder="1" applyProtection="1">
      <protection locked="0"/>
    </xf>
    <xf numFmtId="1" fontId="15" fillId="7" borderId="90" xfId="0" applyNumberFormat="1" applyFont="1" applyFill="1" applyBorder="1" applyAlignment="1">
      <alignment horizontal="right"/>
    </xf>
    <xf numFmtId="1" fontId="15" fillId="7" borderId="3" xfId="0" applyNumberFormat="1" applyFont="1" applyFill="1" applyBorder="1" applyAlignment="1">
      <alignment horizontal="right"/>
    </xf>
    <xf numFmtId="1" fontId="15" fillId="7" borderId="83" xfId="0" applyNumberFormat="1" applyFont="1" applyFill="1" applyBorder="1" applyAlignment="1">
      <alignment horizontal="right"/>
    </xf>
    <xf numFmtId="1" fontId="12" fillId="5" borderId="8" xfId="0" applyNumberFormat="1" applyFont="1" applyFill="1" applyBorder="1"/>
    <xf numFmtId="1" fontId="15" fillId="7" borderId="1" xfId="0" applyNumberFormat="1" applyFont="1" applyFill="1" applyBorder="1"/>
    <xf numFmtId="1" fontId="8" fillId="7" borderId="8" xfId="0" applyNumberFormat="1" applyFont="1" applyFill="1" applyBorder="1"/>
    <xf numFmtId="1" fontId="15" fillId="7" borderId="90" xfId="0" applyNumberFormat="1" applyFont="1" applyFill="1" applyBorder="1"/>
    <xf numFmtId="1" fontId="15" fillId="7" borderId="3" xfId="0" applyNumberFormat="1" applyFont="1" applyFill="1" applyBorder="1"/>
    <xf numFmtId="1" fontId="15" fillId="7" borderId="97" xfId="0" applyNumberFormat="1" applyFont="1" applyFill="1" applyBorder="1"/>
    <xf numFmtId="1" fontId="15" fillId="7" borderId="83" xfId="0" applyNumberFormat="1" applyFont="1" applyFill="1" applyBorder="1"/>
    <xf numFmtId="0" fontId="8" fillId="0" borderId="0" xfId="0" applyFont="1"/>
    <xf numFmtId="0" fontId="8" fillId="7" borderId="1" xfId="0" applyFont="1" applyFill="1" applyBorder="1" applyAlignment="1">
      <alignment horizontal="center"/>
    </xf>
    <xf numFmtId="0" fontId="15" fillId="4" borderId="100" xfId="0" applyFont="1" applyFill="1" applyBorder="1"/>
    <xf numFmtId="0" fontId="16" fillId="5" borderId="87" xfId="0" applyFont="1" applyFill="1" applyBorder="1"/>
    <xf numFmtId="0" fontId="15" fillId="4" borderId="114" xfId="0" applyFont="1" applyFill="1" applyBorder="1"/>
    <xf numFmtId="0" fontId="12" fillId="5" borderId="11" xfId="0" applyFont="1" applyFill="1" applyBorder="1" applyProtection="1">
      <protection locked="0"/>
    </xf>
    <xf numFmtId="1" fontId="12" fillId="5" borderId="11" xfId="0" applyNumberFormat="1" applyFont="1" applyFill="1" applyBorder="1" applyProtection="1">
      <protection locked="0"/>
    </xf>
    <xf numFmtId="164" fontId="12" fillId="5" borderId="11" xfId="128" applyFont="1" applyFill="1" applyBorder="1" applyProtection="1">
      <protection locked="0"/>
    </xf>
    <xf numFmtId="164" fontId="15" fillId="5" borderId="11" xfId="128" applyFont="1" applyFill="1" applyBorder="1" applyAlignment="1" applyProtection="1">
      <alignment horizontal="center"/>
      <protection locked="0"/>
    </xf>
    <xf numFmtId="0" fontId="15" fillId="5" borderId="11" xfId="0" applyFont="1" applyFill="1" applyBorder="1" applyAlignment="1" applyProtection="1">
      <alignment horizontal="center"/>
      <protection locked="0"/>
    </xf>
    <xf numFmtId="0" fontId="12" fillId="4" borderId="11" xfId="0" applyFont="1" applyFill="1" applyBorder="1" applyProtection="1">
      <protection locked="0"/>
    </xf>
    <xf numFmtId="1" fontId="12" fillId="4" borderId="11" xfId="0" applyNumberFormat="1" applyFont="1" applyFill="1" applyBorder="1" applyProtection="1">
      <protection locked="0"/>
    </xf>
    <xf numFmtId="164" fontId="12" fillId="4" borderId="11" xfId="128" applyFont="1" applyFill="1" applyBorder="1" applyProtection="1">
      <protection locked="0"/>
    </xf>
    <xf numFmtId="164" fontId="15" fillId="4" borderId="11" xfId="128"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2" fillId="5" borderId="10" xfId="0" applyFont="1" applyFill="1" applyBorder="1" applyProtection="1">
      <protection locked="0"/>
    </xf>
    <xf numFmtId="1" fontId="12" fillId="5" borderId="10" xfId="0" applyNumberFormat="1" applyFont="1" applyFill="1" applyBorder="1" applyProtection="1">
      <protection locked="0"/>
    </xf>
    <xf numFmtId="164" fontId="12" fillId="5" borderId="10" xfId="128" applyFont="1" applyFill="1" applyBorder="1" applyProtection="1">
      <protection locked="0"/>
    </xf>
    <xf numFmtId="164" fontId="15" fillId="5" borderId="10" xfId="128" applyFont="1" applyFill="1" applyBorder="1" applyAlignment="1" applyProtection="1">
      <alignment horizontal="center"/>
      <protection locked="0"/>
    </xf>
    <xf numFmtId="0" fontId="15" fillId="5" borderId="10" xfId="0" applyFont="1" applyFill="1" applyBorder="1" applyAlignment="1" applyProtection="1">
      <alignment horizontal="center"/>
      <protection locked="0"/>
    </xf>
    <xf numFmtId="0" fontId="12" fillId="5" borderId="8" xfId="0" applyFont="1" applyFill="1" applyBorder="1" applyProtection="1">
      <protection locked="0"/>
    </xf>
    <xf numFmtId="1" fontId="12" fillId="5" borderId="8" xfId="0" applyNumberFormat="1" applyFont="1" applyFill="1" applyBorder="1" applyProtection="1">
      <protection locked="0"/>
    </xf>
    <xf numFmtId="164" fontId="12" fillId="5" borderId="8" xfId="128" applyFont="1" applyFill="1" applyBorder="1" applyProtection="1">
      <protection locked="0"/>
    </xf>
    <xf numFmtId="164" fontId="15" fillId="5" borderId="8" xfId="128" applyFont="1" applyFill="1" applyBorder="1" applyAlignment="1" applyProtection="1">
      <alignment horizontal="center"/>
      <protection locked="0"/>
    </xf>
    <xf numFmtId="0" fontId="15" fillId="5" borderId="8" xfId="0" applyFont="1" applyFill="1" applyBorder="1" applyAlignment="1" applyProtection="1">
      <alignment horizontal="center"/>
      <protection locked="0"/>
    </xf>
    <xf numFmtId="0" fontId="12" fillId="5" borderId="7" xfId="0" applyFont="1" applyFill="1" applyBorder="1" applyProtection="1">
      <protection locked="0"/>
    </xf>
    <xf numFmtId="1" fontId="12" fillId="5" borderId="7" xfId="0" applyNumberFormat="1" applyFont="1" applyFill="1" applyBorder="1" applyProtection="1">
      <protection locked="0"/>
    </xf>
    <xf numFmtId="164" fontId="12" fillId="5" borderId="7" xfId="128" applyFont="1" applyFill="1" applyBorder="1" applyProtection="1">
      <protection locked="0"/>
    </xf>
    <xf numFmtId="164" fontId="15" fillId="5" borderId="7" xfId="128" applyFont="1" applyFill="1" applyBorder="1" applyAlignment="1" applyProtection="1">
      <alignment horizontal="center"/>
      <protection locked="0"/>
    </xf>
    <xf numFmtId="0" fontId="15" fillId="5" borderId="7" xfId="0" applyFont="1" applyFill="1" applyBorder="1" applyAlignment="1" applyProtection="1">
      <alignment horizontal="center"/>
      <protection locked="0"/>
    </xf>
    <xf numFmtId="37" fontId="4" fillId="0" borderId="115" xfId="129" applyBorder="1" applyProtection="1">
      <protection locked="0"/>
    </xf>
    <xf numFmtId="37" fontId="31" fillId="0" borderId="0" xfId="129" applyFont="1" applyAlignment="1" applyProtection="1">
      <alignment horizontal="centerContinuous"/>
      <protection locked="0"/>
    </xf>
    <xf numFmtId="37" fontId="4" fillId="0" borderId="0" xfId="129" applyAlignment="1" applyProtection="1">
      <alignment horizontal="centerContinuous"/>
      <protection locked="0"/>
    </xf>
    <xf numFmtId="37" fontId="4" fillId="0" borderId="0" xfId="129" applyProtection="1">
      <protection locked="0"/>
    </xf>
    <xf numFmtId="37" fontId="31" fillId="0" borderId="0" xfId="129" applyFont="1" applyProtection="1">
      <protection locked="0"/>
    </xf>
    <xf numFmtId="37" fontId="4" fillId="0" borderId="99" xfId="129" applyBorder="1" applyProtection="1">
      <protection locked="0"/>
    </xf>
    <xf numFmtId="37" fontId="4" fillId="0" borderId="95" xfId="129" applyBorder="1" applyProtection="1">
      <protection locked="0"/>
    </xf>
    <xf numFmtId="37" fontId="32" fillId="0" borderId="0" xfId="129" applyFont="1" applyProtection="1">
      <protection locked="0"/>
    </xf>
    <xf numFmtId="37" fontId="4" fillId="0" borderId="0" xfId="129" applyAlignment="1" applyProtection="1">
      <alignment horizontal="right"/>
      <protection locked="0"/>
    </xf>
    <xf numFmtId="167" fontId="16" fillId="0" borderId="0" xfId="1" applyNumberFormat="1" applyFont="1"/>
    <xf numFmtId="49" fontId="16" fillId="0" borderId="0" xfId="1" applyNumberFormat="1" applyFont="1" applyAlignment="1">
      <alignment horizontal="center"/>
    </xf>
    <xf numFmtId="1" fontId="10" fillId="0" borderId="6" xfId="0" applyNumberFormat="1" applyFont="1" applyBorder="1" applyAlignment="1">
      <alignment horizontal="center" vertical="center"/>
    </xf>
    <xf numFmtId="164" fontId="11" fillId="6" borderId="17" xfId="128" applyFont="1" applyFill="1" applyBorder="1" applyAlignment="1">
      <alignment vertical="center" wrapText="1"/>
    </xf>
    <xf numFmtId="164" fontId="11" fillId="3" borderId="14" xfId="128" applyFont="1" applyFill="1" applyBorder="1" applyAlignment="1">
      <alignment horizontal="left" vertical="center" wrapText="1"/>
    </xf>
    <xf numFmtId="164" fontId="11" fillId="3" borderId="72" xfId="128" applyFont="1" applyFill="1" applyBorder="1" applyAlignment="1">
      <alignment horizontal="left" vertical="center" wrapText="1"/>
    </xf>
    <xf numFmtId="164" fontId="10" fillId="4" borderId="1" xfId="128" applyFont="1" applyFill="1" applyBorder="1" applyAlignment="1">
      <alignment horizontal="left" vertical="center" wrapText="1"/>
    </xf>
    <xf numFmtId="164" fontId="10" fillId="4" borderId="18" xfId="128" applyFont="1" applyFill="1" applyBorder="1" applyAlignment="1">
      <alignment horizontal="left" vertical="center" wrapText="1"/>
    </xf>
    <xf numFmtId="164" fontId="13" fillId="5" borderId="34" xfId="128" applyFont="1" applyFill="1" applyBorder="1" applyAlignment="1" applyProtection="1">
      <alignment wrapText="1"/>
      <protection locked="0"/>
    </xf>
    <xf numFmtId="164" fontId="13" fillId="5" borderId="45" xfId="128" applyFont="1" applyFill="1" applyBorder="1" applyAlignment="1" applyProtection="1">
      <alignment wrapText="1"/>
      <protection locked="0"/>
    </xf>
    <xf numFmtId="164" fontId="11" fillId="3" borderId="20" xfId="128" applyFont="1" applyFill="1" applyBorder="1" applyAlignment="1">
      <alignment horizontal="left" vertical="center" wrapText="1"/>
    </xf>
    <xf numFmtId="164" fontId="13" fillId="5" borderId="34" xfId="128" applyFont="1" applyFill="1" applyBorder="1" applyAlignment="1">
      <alignment wrapText="1"/>
    </xf>
    <xf numFmtId="164" fontId="13" fillId="5" borderId="66" xfId="128" applyFont="1" applyFill="1" applyBorder="1" applyAlignment="1">
      <alignment wrapText="1"/>
    </xf>
    <xf numFmtId="164" fontId="8" fillId="7" borderId="0" xfId="128" applyFont="1" applyFill="1" applyAlignment="1" applyProtection="1">
      <alignment vertical="center" wrapText="1"/>
      <protection locked="0"/>
    </xf>
    <xf numFmtId="164" fontId="13" fillId="7" borderId="68" xfId="128" applyFont="1" applyFill="1" applyBorder="1" applyAlignment="1" applyProtection="1">
      <alignment horizontal="left" wrapText="1" indent="6"/>
      <protection locked="0"/>
    </xf>
    <xf numFmtId="164" fontId="8" fillId="7" borderId="76" xfId="128" applyFont="1" applyFill="1" applyBorder="1" applyAlignment="1" applyProtection="1">
      <alignment vertical="center" wrapText="1"/>
      <protection locked="0"/>
    </xf>
    <xf numFmtId="164" fontId="13" fillId="5" borderId="46" xfId="128" applyFont="1" applyFill="1" applyBorder="1" applyAlignment="1">
      <alignment wrapText="1"/>
    </xf>
    <xf numFmtId="164" fontId="8" fillId="7" borderId="59" xfId="128" applyFont="1" applyFill="1" applyBorder="1" applyAlignment="1" applyProtection="1">
      <alignment vertical="center" wrapText="1"/>
      <protection locked="0"/>
    </xf>
    <xf numFmtId="164" fontId="8" fillId="7" borderId="62" xfId="128" applyFont="1" applyFill="1" applyBorder="1" applyAlignment="1" applyProtection="1">
      <alignment vertical="center" wrapText="1"/>
      <protection locked="0"/>
    </xf>
    <xf numFmtId="164" fontId="8" fillId="7" borderId="60" xfId="128" applyFont="1" applyFill="1" applyBorder="1" applyAlignment="1" applyProtection="1">
      <alignment vertical="center" wrapText="1"/>
      <protection locked="0"/>
    </xf>
    <xf numFmtId="164" fontId="8" fillId="7" borderId="43" xfId="128" applyFont="1" applyFill="1" applyBorder="1" applyAlignment="1" applyProtection="1">
      <alignment horizontal="right" vertical="center" wrapText="1"/>
      <protection locked="0"/>
    </xf>
    <xf numFmtId="164" fontId="10" fillId="4" borderId="1" xfId="128" applyFont="1" applyFill="1" applyBorder="1" applyAlignment="1" applyProtection="1">
      <alignment horizontal="left" vertical="center" wrapText="1"/>
      <protection locked="0"/>
    </xf>
    <xf numFmtId="164" fontId="10" fillId="4" borderId="18" xfId="128" applyFont="1" applyFill="1" applyBorder="1" applyAlignment="1" applyProtection="1">
      <alignment horizontal="left" vertical="center" wrapText="1"/>
      <protection locked="0"/>
    </xf>
    <xf numFmtId="164" fontId="13" fillId="5" borderId="46" xfId="128" applyFont="1" applyFill="1" applyBorder="1" applyAlignment="1" applyProtection="1">
      <alignment wrapText="1"/>
      <protection locked="0"/>
    </xf>
    <xf numFmtId="164" fontId="11" fillId="3" borderId="14" xfId="128" applyFont="1" applyFill="1" applyBorder="1" applyAlignment="1" applyProtection="1">
      <alignment horizontal="left" vertical="center" wrapText="1"/>
      <protection locked="0"/>
    </xf>
    <xf numFmtId="164" fontId="11" fillId="3" borderId="20" xfId="128" applyFont="1" applyFill="1" applyBorder="1" applyAlignment="1" applyProtection="1">
      <alignment horizontal="left" vertical="center" wrapText="1"/>
      <protection locked="0"/>
    </xf>
    <xf numFmtId="164" fontId="9" fillId="4" borderId="1" xfId="128" applyFont="1" applyFill="1" applyBorder="1" applyAlignment="1" applyProtection="1">
      <alignment vertical="center" wrapText="1"/>
      <protection locked="0"/>
    </xf>
    <xf numFmtId="164" fontId="9" fillId="4" borderId="18" xfId="128" applyFont="1" applyFill="1" applyBorder="1" applyAlignment="1" applyProtection="1">
      <alignment vertical="center" wrapText="1"/>
      <protection locked="0"/>
    </xf>
    <xf numFmtId="164" fontId="11" fillId="3" borderId="14" xfId="128" applyFont="1" applyFill="1" applyBorder="1" applyAlignment="1">
      <alignment vertical="center" wrapText="1"/>
    </xf>
    <xf numFmtId="164" fontId="11" fillId="3" borderId="20" xfId="128" applyFont="1" applyFill="1" applyBorder="1" applyAlignment="1">
      <alignment vertical="center" wrapText="1"/>
    </xf>
    <xf numFmtId="164" fontId="11" fillId="3" borderId="47" xfId="128" applyFont="1" applyFill="1" applyBorder="1" applyAlignment="1" applyProtection="1">
      <alignment horizontal="left" vertical="center" wrapText="1"/>
      <protection locked="0"/>
    </xf>
    <xf numFmtId="164" fontId="11" fillId="6" borderId="22" xfId="128" applyFont="1" applyFill="1" applyBorder="1" applyAlignment="1">
      <alignment horizontal="left" vertical="center" wrapText="1"/>
    </xf>
    <xf numFmtId="1" fontId="16" fillId="0" borderId="0" xfId="1" applyNumberFormat="1" applyFont="1" applyAlignment="1">
      <alignment horizontal="center" vertical="center"/>
    </xf>
    <xf numFmtId="37" fontId="34" fillId="0" borderId="0" xfId="129" applyFont="1" applyProtection="1">
      <protection locked="0"/>
    </xf>
    <xf numFmtId="0" fontId="33" fillId="3" borderId="123" xfId="0" applyFont="1" applyFill="1" applyBorder="1" applyAlignment="1">
      <alignment horizontal="center" vertical="center" wrapText="1"/>
    </xf>
    <xf numFmtId="168" fontId="17" fillId="4" borderId="122" xfId="0" applyNumberFormat="1" applyFont="1" applyFill="1" applyBorder="1" applyAlignment="1">
      <alignment horizontal="center" vertical="center" wrapText="1"/>
    </xf>
    <xf numFmtId="168" fontId="17" fillId="4" borderId="134" xfId="0" applyNumberFormat="1" applyFont="1" applyFill="1" applyBorder="1" applyAlignment="1">
      <alignment horizontal="center" vertical="center" wrapText="1"/>
    </xf>
    <xf numFmtId="168" fontId="17" fillId="4" borderId="135" xfId="0" applyNumberFormat="1" applyFont="1" applyFill="1" applyBorder="1" applyAlignment="1">
      <alignment horizontal="center" vertical="center" wrapText="1"/>
    </xf>
    <xf numFmtId="168" fontId="30" fillId="4" borderId="134" xfId="0" applyNumberFormat="1" applyFont="1" applyFill="1" applyBorder="1" applyAlignment="1">
      <alignment horizontal="center" vertical="center" wrapText="1"/>
    </xf>
    <xf numFmtId="0" fontId="17" fillId="4" borderId="122" xfId="0" applyFont="1" applyFill="1" applyBorder="1" applyAlignment="1">
      <alignment horizontal="center" vertical="center" wrapText="1"/>
    </xf>
    <xf numFmtId="0" fontId="9" fillId="10" borderId="136" xfId="4" applyFont="1" applyFill="1" applyBorder="1" applyAlignment="1">
      <alignment vertical="center" wrapText="1"/>
    </xf>
    <xf numFmtId="0" fontId="17" fillId="4" borderId="121" xfId="0" applyFont="1" applyFill="1" applyBorder="1" applyAlignment="1">
      <alignment horizontal="center" vertical="center" wrapText="1"/>
    </xf>
    <xf numFmtId="0" fontId="17" fillId="10" borderId="14" xfId="0" applyFont="1" applyFill="1" applyBorder="1" applyAlignment="1">
      <alignment horizontal="center" vertical="center"/>
    </xf>
    <xf numFmtId="168" fontId="17" fillId="4" borderId="144" xfId="0" applyNumberFormat="1" applyFont="1" applyFill="1" applyBorder="1" applyAlignment="1">
      <alignment horizontal="center" vertical="center" wrapText="1"/>
    </xf>
    <xf numFmtId="168" fontId="17" fillId="4" borderId="150" xfId="0" applyNumberFormat="1" applyFont="1" applyFill="1" applyBorder="1" applyAlignment="1">
      <alignment horizontal="center" vertical="center" wrapText="1"/>
    </xf>
    <xf numFmtId="168" fontId="17" fillId="4" borderId="156" xfId="0" applyNumberFormat="1" applyFont="1" applyFill="1" applyBorder="1" applyAlignment="1">
      <alignment horizontal="center" vertical="center" wrapText="1"/>
    </xf>
    <xf numFmtId="0" fontId="17" fillId="4" borderId="156" xfId="0" applyFont="1" applyFill="1" applyBorder="1" applyAlignment="1">
      <alignment horizontal="center" vertical="center" wrapText="1"/>
    </xf>
    <xf numFmtId="0" fontId="17" fillId="4" borderId="162" xfId="0" applyFont="1" applyFill="1" applyBorder="1" applyAlignment="1">
      <alignment horizontal="center" vertical="center" wrapText="1"/>
    </xf>
    <xf numFmtId="168" fontId="17" fillId="4" borderId="162" xfId="0" applyNumberFormat="1" applyFont="1" applyFill="1" applyBorder="1" applyAlignment="1">
      <alignment horizontal="center" vertical="center" wrapText="1"/>
    </xf>
    <xf numFmtId="0" fontId="33" fillId="3" borderId="125" xfId="0" applyFont="1" applyFill="1" applyBorder="1" applyAlignment="1">
      <alignment horizontal="center" vertical="center" wrapText="1"/>
    </xf>
    <xf numFmtId="0" fontId="11" fillId="3" borderId="127" xfId="6" applyFont="1" applyFill="1" applyBorder="1" applyAlignment="1">
      <alignment vertical="center" wrapText="1"/>
    </xf>
    <xf numFmtId="164" fontId="17" fillId="10" borderId="163" xfId="128" applyFont="1" applyFill="1" applyBorder="1" applyAlignment="1">
      <alignment vertical="center"/>
    </xf>
    <xf numFmtId="164" fontId="17" fillId="10" borderId="157" xfId="128" applyFont="1" applyFill="1" applyBorder="1" applyAlignment="1">
      <alignment vertical="center"/>
    </xf>
    <xf numFmtId="164" fontId="17" fillId="10" borderId="136" xfId="128" applyFont="1" applyFill="1" applyBorder="1" applyAlignment="1">
      <alignment vertical="center"/>
    </xf>
    <xf numFmtId="164" fontId="17" fillId="10" borderId="163" xfId="128" applyFont="1" applyFill="1" applyBorder="1" applyAlignment="1">
      <alignment horizontal="left" vertical="center"/>
    </xf>
    <xf numFmtId="164" fontId="17" fillId="10" borderId="137" xfId="128" applyFont="1" applyFill="1" applyBorder="1" applyAlignment="1">
      <alignment vertical="center"/>
    </xf>
    <xf numFmtId="164" fontId="17" fillId="10" borderId="145" xfId="128" applyFont="1" applyFill="1" applyBorder="1" applyAlignment="1">
      <alignment vertical="center"/>
    </xf>
    <xf numFmtId="164" fontId="17" fillId="10" borderId="151" xfId="128" applyFont="1" applyFill="1" applyBorder="1" applyAlignment="1">
      <alignment vertical="center"/>
    </xf>
    <xf numFmtId="164" fontId="17" fillId="10" borderId="138" xfId="128" applyFont="1" applyFill="1" applyBorder="1" applyAlignment="1">
      <alignment vertical="center"/>
    </xf>
    <xf numFmtId="0" fontId="33" fillId="3" borderId="167" xfId="0" applyFont="1" applyFill="1" applyBorder="1" applyAlignment="1">
      <alignment horizontal="center" vertical="center" wrapText="1"/>
    </xf>
    <xf numFmtId="0" fontId="33" fillId="3" borderId="108" xfId="0" applyFont="1" applyFill="1" applyBorder="1" applyAlignment="1">
      <alignment horizontal="center" vertical="center" wrapText="1"/>
    </xf>
    <xf numFmtId="0" fontId="33" fillId="3" borderId="111" xfId="0" applyFont="1" applyFill="1" applyBorder="1" applyAlignment="1">
      <alignment horizontal="center" vertical="center" wrapText="1"/>
    </xf>
    <xf numFmtId="0" fontId="33" fillId="3" borderId="169" xfId="0" applyFont="1" applyFill="1" applyBorder="1" applyAlignment="1">
      <alignment horizontal="center" vertical="center" wrapText="1"/>
    </xf>
    <xf numFmtId="0" fontId="11" fillId="3" borderId="168" xfId="6" applyFont="1" applyFill="1" applyBorder="1" applyAlignment="1">
      <alignment horizontal="center" vertical="center" wrapText="1"/>
    </xf>
    <xf numFmtId="0" fontId="33" fillId="3" borderId="170" xfId="0" applyFont="1" applyFill="1" applyBorder="1" applyAlignment="1">
      <alignment horizontal="center" vertical="center" wrapText="1"/>
    </xf>
    <xf numFmtId="0" fontId="33" fillId="3" borderId="171" xfId="0" applyFont="1" applyFill="1" applyBorder="1" applyAlignment="1">
      <alignment horizontal="center" vertical="center" wrapText="1"/>
    </xf>
    <xf numFmtId="0" fontId="33" fillId="3" borderId="172" xfId="0" applyFont="1" applyFill="1" applyBorder="1" applyAlignment="1">
      <alignment horizontal="center" vertical="center" wrapText="1"/>
    </xf>
    <xf numFmtId="0" fontId="33" fillId="3" borderId="173" xfId="0"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0" fontId="14" fillId="3" borderId="0" xfId="0" applyFont="1" applyFill="1" applyAlignment="1">
      <alignment vertical="center"/>
    </xf>
    <xf numFmtId="0" fontId="14" fillId="3" borderId="0" xfId="0" applyFont="1" applyFill="1" applyAlignment="1">
      <alignment horizontal="left" vertical="center"/>
    </xf>
    <xf numFmtId="0" fontId="17" fillId="0" borderId="4" xfId="0" applyFont="1" applyBorder="1" applyAlignment="1">
      <alignment vertical="center"/>
    </xf>
    <xf numFmtId="0" fontId="0" fillId="0" borderId="50" xfId="0" applyBorder="1"/>
    <xf numFmtId="0" fontId="17" fillId="0" borderId="50" xfId="0" applyFont="1" applyBorder="1" applyAlignment="1">
      <alignment vertical="center"/>
    </xf>
    <xf numFmtId="0" fontId="17" fillId="0" borderId="50" xfId="0" applyFont="1" applyBorder="1" applyAlignment="1">
      <alignment horizontal="left" vertical="center"/>
    </xf>
    <xf numFmtId="0" fontId="17" fillId="0" borderId="107" xfId="0" applyFont="1" applyBorder="1" applyAlignment="1">
      <alignment vertical="center"/>
    </xf>
    <xf numFmtId="0" fontId="17" fillId="0" borderId="63" xfId="0" applyFont="1" applyBorder="1" applyAlignment="1">
      <alignment vertical="center"/>
    </xf>
    <xf numFmtId="0" fontId="17" fillId="0" borderId="99" xfId="0" applyFont="1" applyBorder="1" applyAlignment="1">
      <alignment vertical="center"/>
    </xf>
    <xf numFmtId="0" fontId="17" fillId="0" borderId="5" xfId="0" applyFont="1" applyBorder="1" applyAlignment="1">
      <alignment vertical="center"/>
    </xf>
    <xf numFmtId="0" fontId="17" fillId="0" borderId="64" xfId="0" applyFont="1" applyBorder="1" applyAlignment="1">
      <alignment vertical="center"/>
    </xf>
    <xf numFmtId="0" fontId="30" fillId="0" borderId="0" xfId="0" applyFont="1" applyAlignment="1">
      <alignment horizontal="left" vertical="center"/>
    </xf>
    <xf numFmtId="0" fontId="15" fillId="11" borderId="97" xfId="0" applyFont="1" applyFill="1" applyBorder="1"/>
    <xf numFmtId="0" fontId="15" fillId="11" borderId="98" xfId="0" applyFont="1" applyFill="1" applyBorder="1"/>
    <xf numFmtId="0" fontId="15" fillId="11" borderId="106" xfId="0" applyFont="1" applyFill="1" applyBorder="1"/>
    <xf numFmtId="0" fontId="15" fillId="11" borderId="87" xfId="0" applyFont="1" applyFill="1" applyBorder="1"/>
    <xf numFmtId="0" fontId="8" fillId="7" borderId="13" xfId="0" applyFont="1" applyFill="1" applyBorder="1" applyAlignment="1" applyProtection="1">
      <alignment vertical="center"/>
      <protection locked="0"/>
    </xf>
    <xf numFmtId="0" fontId="10" fillId="7" borderId="0" xfId="0" applyFont="1" applyFill="1" applyAlignment="1">
      <alignment vertical="center" wrapText="1"/>
    </xf>
    <xf numFmtId="49" fontId="11" fillId="3" borderId="14" xfId="1" applyNumberFormat="1" applyFont="1" applyFill="1" applyBorder="1" applyAlignment="1">
      <alignment horizontal="center" vertical="center" wrapText="1"/>
    </xf>
    <xf numFmtId="49" fontId="9" fillId="4" borderId="1" xfId="4" applyNumberFormat="1" applyFont="1" applyFill="1" applyBorder="1" applyAlignment="1">
      <alignment horizontal="center" vertical="center" wrapText="1"/>
    </xf>
    <xf numFmtId="49" fontId="8" fillId="5" borderId="34" xfId="1" applyNumberFormat="1" applyFont="1" applyFill="1" applyBorder="1" applyAlignment="1">
      <alignment horizontal="center" vertical="center" wrapText="1"/>
    </xf>
    <xf numFmtId="49" fontId="8" fillId="7" borderId="43" xfId="1" applyNumberFormat="1" applyFont="1" applyFill="1" applyBorder="1" applyAlignment="1">
      <alignment horizontal="center" vertical="center" wrapText="1"/>
    </xf>
    <xf numFmtId="49" fontId="11" fillId="6" borderId="17" xfId="1" applyNumberFormat="1" applyFont="1" applyFill="1" applyBorder="1" applyAlignment="1">
      <alignment horizontal="center" vertical="center" wrapText="1"/>
    </xf>
    <xf numFmtId="49" fontId="8" fillId="7" borderId="61" xfId="1" applyNumberFormat="1" applyFont="1" applyFill="1" applyBorder="1" applyAlignment="1">
      <alignment horizontal="center" vertical="center" wrapText="1"/>
    </xf>
    <xf numFmtId="0" fontId="15" fillId="11" borderId="102" xfId="0" applyFont="1" applyFill="1" applyBorder="1" applyProtection="1">
      <protection locked="0"/>
    </xf>
    <xf numFmtId="49" fontId="8" fillId="5" borderId="42" xfId="1" applyNumberFormat="1" applyFont="1" applyFill="1" applyBorder="1" applyAlignment="1">
      <alignment horizontal="center" vertical="center" wrapText="1"/>
    </xf>
    <xf numFmtId="0" fontId="10" fillId="7" borderId="0" xfId="0" applyFont="1" applyFill="1" applyAlignment="1" applyProtection="1">
      <alignment horizontal="center" vertical="center"/>
      <protection locked="0"/>
    </xf>
    <xf numFmtId="167" fontId="30" fillId="12" borderId="0" xfId="1" applyNumberFormat="1" applyFont="1" applyFill="1" applyAlignment="1">
      <alignment horizontal="center"/>
    </xf>
    <xf numFmtId="1" fontId="8" fillId="15" borderId="34" xfId="1" applyNumberFormat="1" applyFont="1" applyFill="1" applyBorder="1" applyAlignment="1">
      <alignment horizontal="center" vertical="center" wrapText="1"/>
    </xf>
    <xf numFmtId="49" fontId="8" fillId="15" borderId="34" xfId="1" applyNumberFormat="1" applyFont="1" applyFill="1" applyBorder="1" applyAlignment="1">
      <alignment horizontal="center" vertical="center" wrapText="1"/>
    </xf>
    <xf numFmtId="1" fontId="8" fillId="15" borderId="43" xfId="1" applyNumberFormat="1" applyFont="1" applyFill="1" applyBorder="1" applyAlignment="1">
      <alignment horizontal="center" vertical="center" wrapText="1"/>
    </xf>
    <xf numFmtId="0" fontId="13" fillId="15" borderId="34" xfId="8" applyFont="1" applyFill="1" applyBorder="1" applyAlignment="1" applyProtection="1">
      <alignment horizontal="left" vertical="center" wrapText="1" indent="6"/>
      <protection locked="0"/>
    </xf>
    <xf numFmtId="164" fontId="13" fillId="15" borderId="34" xfId="128" applyFont="1" applyFill="1" applyBorder="1" applyAlignment="1" applyProtection="1">
      <alignment wrapText="1"/>
      <protection locked="0"/>
    </xf>
    <xf numFmtId="164" fontId="13" fillId="15" borderId="45" xfId="128" applyFont="1" applyFill="1" applyBorder="1" applyAlignment="1" applyProtection="1">
      <alignment wrapText="1"/>
      <protection locked="0"/>
    </xf>
    <xf numFmtId="49" fontId="8" fillId="15" borderId="35" xfId="1" applyNumberFormat="1" applyFont="1" applyFill="1" applyBorder="1" applyAlignment="1" applyProtection="1">
      <alignment vertical="center" wrapText="1"/>
      <protection locked="0"/>
    </xf>
    <xf numFmtId="49" fontId="8" fillId="15" borderId="43" xfId="1" applyNumberFormat="1" applyFont="1" applyFill="1" applyBorder="1" applyAlignment="1">
      <alignment horizontal="center" vertical="center" wrapText="1"/>
    </xf>
    <xf numFmtId="0" fontId="13" fillId="15" borderId="43" xfId="8" applyFont="1" applyFill="1" applyBorder="1" applyAlignment="1" applyProtection="1">
      <alignment horizontal="left" wrapText="1" indent="6"/>
      <protection locked="0"/>
    </xf>
    <xf numFmtId="164" fontId="8" fillId="15" borderId="0" xfId="128" applyFont="1" applyFill="1" applyAlignment="1" applyProtection="1">
      <alignment vertical="center" wrapText="1"/>
      <protection locked="0"/>
    </xf>
    <xf numFmtId="164" fontId="13" fillId="15" borderId="68" xfId="128" applyFont="1" applyFill="1" applyBorder="1" applyAlignment="1" applyProtection="1">
      <alignment horizontal="left" wrapText="1" indent="6"/>
      <protection locked="0"/>
    </xf>
    <xf numFmtId="166" fontId="8" fillId="15" borderId="69" xfId="1" applyNumberFormat="1" applyFont="1" applyFill="1" applyBorder="1" applyAlignment="1" applyProtection="1">
      <alignment vertical="center" wrapText="1"/>
      <protection locked="0"/>
    </xf>
    <xf numFmtId="164" fontId="8" fillId="15" borderId="76" xfId="128" applyFont="1" applyFill="1" applyBorder="1" applyAlignment="1" applyProtection="1">
      <alignment vertical="center" wrapText="1"/>
      <protection locked="0"/>
    </xf>
    <xf numFmtId="1" fontId="8" fillId="5" borderId="42" xfId="1" applyNumberFormat="1" applyFont="1" applyFill="1" applyBorder="1" applyAlignment="1">
      <alignment horizontal="center" vertical="center" wrapText="1"/>
    </xf>
    <xf numFmtId="0" fontId="13" fillId="5" borderId="42" xfId="8" applyFont="1" applyFill="1" applyBorder="1" applyAlignment="1" applyProtection="1">
      <alignment horizontal="left" wrapText="1" indent="6"/>
      <protection locked="0"/>
    </xf>
    <xf numFmtId="164" fontId="13" fillId="5" borderId="42" xfId="128" applyFont="1" applyFill="1" applyBorder="1" applyAlignment="1" applyProtection="1">
      <alignment wrapText="1"/>
      <protection locked="0"/>
    </xf>
    <xf numFmtId="164" fontId="13" fillId="5" borderId="175" xfId="128" applyFont="1" applyFill="1" applyBorder="1" applyAlignment="1" applyProtection="1">
      <alignment wrapText="1"/>
      <protection locked="0"/>
    </xf>
    <xf numFmtId="49" fontId="8" fillId="5" borderId="176" xfId="1" applyNumberFormat="1" applyFont="1" applyFill="1" applyBorder="1" applyAlignment="1" applyProtection="1">
      <alignment vertical="center" wrapText="1"/>
      <protection locked="0"/>
    </xf>
    <xf numFmtId="49" fontId="8" fillId="7" borderId="39" xfId="1" applyNumberFormat="1" applyFont="1" applyFill="1" applyBorder="1" applyAlignment="1">
      <alignment horizontal="center" vertical="center" wrapText="1"/>
    </xf>
    <xf numFmtId="164" fontId="13" fillId="7" borderId="39" xfId="128" applyFont="1" applyFill="1" applyBorder="1" applyAlignment="1" applyProtection="1">
      <alignment wrapText="1"/>
      <protection locked="0"/>
    </xf>
    <xf numFmtId="49" fontId="8" fillId="7" borderId="177" xfId="1" applyNumberFormat="1" applyFont="1" applyFill="1" applyBorder="1" applyAlignment="1" applyProtection="1">
      <alignment vertical="center" wrapText="1"/>
      <protection locked="0"/>
    </xf>
    <xf numFmtId="49" fontId="8" fillId="7" borderId="40" xfId="1" applyNumberFormat="1" applyFont="1" applyFill="1" applyBorder="1" applyAlignment="1" applyProtection="1">
      <alignment vertical="center" wrapText="1"/>
      <protection locked="0"/>
    </xf>
    <xf numFmtId="1" fontId="8" fillId="7" borderId="178" xfId="1" applyNumberFormat="1" applyFont="1" applyFill="1" applyBorder="1" applyAlignment="1">
      <alignment horizontal="center" vertical="center" wrapText="1"/>
    </xf>
    <xf numFmtId="49" fontId="8" fillId="7" borderId="178" xfId="1" applyNumberFormat="1" applyFont="1" applyFill="1" applyBorder="1" applyAlignment="1">
      <alignment horizontal="center" vertical="center" wrapText="1"/>
    </xf>
    <xf numFmtId="164" fontId="13" fillId="7" borderId="178" xfId="128" applyFont="1" applyFill="1" applyBorder="1" applyAlignment="1" applyProtection="1">
      <alignment wrapText="1"/>
      <protection locked="0"/>
    </xf>
    <xf numFmtId="164" fontId="13" fillId="7" borderId="179" xfId="128" applyFont="1" applyFill="1" applyBorder="1" applyAlignment="1" applyProtection="1">
      <alignment horizontal="left" wrapText="1" indent="6"/>
      <protection locked="0"/>
    </xf>
    <xf numFmtId="49" fontId="8" fillId="7" borderId="180" xfId="1" applyNumberFormat="1" applyFont="1" applyFill="1" applyBorder="1" applyAlignment="1" applyProtection="1">
      <alignment vertical="center" wrapText="1"/>
      <protection locked="0"/>
    </xf>
    <xf numFmtId="0" fontId="13" fillId="7" borderId="178" xfId="8" applyFont="1" applyFill="1" applyBorder="1" applyAlignment="1" applyProtection="1">
      <alignment horizontal="left" vertical="center" wrapText="1" indent="6"/>
      <protection locked="0"/>
    </xf>
    <xf numFmtId="0" fontId="13" fillId="7" borderId="39" xfId="8" applyFont="1" applyFill="1" applyBorder="1" applyAlignment="1" applyProtection="1">
      <alignment horizontal="left" vertical="center" wrapText="1" indent="6"/>
      <protection locked="0"/>
    </xf>
    <xf numFmtId="0" fontId="12" fillId="5" borderId="3" xfId="0" applyFont="1" applyFill="1" applyBorder="1" applyProtection="1">
      <protection locked="0"/>
    </xf>
    <xf numFmtId="1" fontId="12" fillId="5" borderId="3" xfId="0" applyNumberFormat="1" applyFont="1" applyFill="1" applyBorder="1" applyProtection="1">
      <protection locked="0"/>
    </xf>
    <xf numFmtId="164" fontId="12" fillId="5" borderId="3" xfId="128" applyFont="1" applyFill="1" applyBorder="1" applyProtection="1">
      <protection locked="0"/>
    </xf>
    <xf numFmtId="164" fontId="15" fillId="5" borderId="3" xfId="128" applyFont="1" applyFill="1" applyBorder="1" applyAlignment="1" applyProtection="1">
      <alignment horizontal="center"/>
      <protection locked="0"/>
    </xf>
    <xf numFmtId="0" fontId="15" fillId="5" borderId="3" xfId="0" applyFont="1" applyFill="1" applyBorder="1" applyAlignment="1" applyProtection="1">
      <alignment horizontal="center"/>
      <protection locked="0"/>
    </xf>
    <xf numFmtId="49" fontId="20" fillId="3" borderId="0" xfId="0" applyNumberFormat="1" applyFont="1" applyFill="1" applyAlignment="1">
      <alignment horizontal="center" wrapText="1"/>
    </xf>
    <xf numFmtId="0" fontId="20" fillId="3" borderId="0" xfId="0" applyFont="1" applyFill="1" applyAlignment="1">
      <alignment horizontal="center" wrapText="1"/>
    </xf>
    <xf numFmtId="0" fontId="20" fillId="14" borderId="0" xfId="0" applyFont="1" applyFill="1" applyAlignment="1">
      <alignment horizontal="center"/>
    </xf>
    <xf numFmtId="49" fontId="24" fillId="14" borderId="0" xfId="0" applyNumberFormat="1" applyFont="1" applyFill="1" applyAlignment="1">
      <alignment horizontal="center" wrapText="1"/>
    </xf>
    <xf numFmtId="0" fontId="3" fillId="0" borderId="0" xfId="0" applyFont="1" applyAlignment="1">
      <alignment horizontal="center"/>
    </xf>
    <xf numFmtId="0" fontId="20" fillId="14" borderId="0" xfId="0" applyFont="1" applyFill="1" applyAlignment="1">
      <alignment horizontal="center" vertical="center"/>
    </xf>
    <xf numFmtId="0" fontId="20" fillId="3" borderId="0" xfId="0" applyFont="1" applyFill="1" applyAlignment="1">
      <alignment horizontal="center"/>
    </xf>
    <xf numFmtId="0" fontId="20" fillId="0" borderId="0" xfId="0" applyFont="1" applyAlignment="1">
      <alignment horizontal="center"/>
    </xf>
    <xf numFmtId="0" fontId="20" fillId="0" borderId="0" xfId="0" applyFont="1" applyAlignment="1">
      <alignment horizontal="center" vertical="center"/>
    </xf>
    <xf numFmtId="0" fontId="24" fillId="3" borderId="0" xfId="0" applyFont="1" applyFill="1" applyAlignment="1">
      <alignment horizontal="center"/>
    </xf>
    <xf numFmtId="0" fontId="20" fillId="16" borderId="0" xfId="0" applyFont="1" applyFill="1" applyAlignment="1">
      <alignment horizontal="center"/>
    </xf>
    <xf numFmtId="0" fontId="0" fillId="0" borderId="0" xfId="0" applyAlignment="1">
      <alignment horizontal="center"/>
    </xf>
    <xf numFmtId="0" fontId="0" fillId="0" borderId="0" xfId="0" applyAlignment="1">
      <alignment horizontal="center" vertical="center"/>
    </xf>
    <xf numFmtId="0" fontId="24" fillId="14" borderId="0" xfId="0" applyFont="1" applyFill="1" applyAlignment="1">
      <alignment horizontal="center"/>
    </xf>
    <xf numFmtId="0" fontId="29" fillId="0" borderId="0" xfId="0" applyFont="1" applyAlignment="1">
      <alignment horizontal="center"/>
    </xf>
    <xf numFmtId="0" fontId="29" fillId="0" borderId="0" xfId="0" applyFont="1" applyAlignment="1">
      <alignment horizontal="center" vertical="center"/>
    </xf>
    <xf numFmtId="0" fontId="24" fillId="0" borderId="0" xfId="0" applyFont="1" applyAlignment="1">
      <alignment horizontal="center"/>
    </xf>
    <xf numFmtId="0" fontId="0" fillId="0" borderId="57" xfId="0" applyBorder="1"/>
    <xf numFmtId="0" fontId="0" fillId="0" borderId="0" xfId="0" applyAlignment="1">
      <alignment vertical="center"/>
    </xf>
    <xf numFmtId="49" fontId="0" fillId="0" borderId="57" xfId="0" applyNumberFormat="1" applyBorder="1"/>
    <xf numFmtId="167" fontId="17" fillId="0" borderId="0" xfId="1" applyNumberFormat="1" applyFont="1" applyAlignment="1">
      <alignment horizontal="left" vertical="center"/>
    </xf>
    <xf numFmtId="0" fontId="8" fillId="7" borderId="6" xfId="0" applyFont="1" applyFill="1" applyBorder="1" applyAlignment="1" applyProtection="1">
      <alignment horizontal="left"/>
      <protection locked="0"/>
    </xf>
    <xf numFmtId="0" fontId="8" fillId="7" borderId="26" xfId="0" applyFont="1" applyFill="1" applyBorder="1" applyAlignment="1" applyProtection="1">
      <alignment horizontal="left"/>
      <protection locked="0"/>
    </xf>
    <xf numFmtId="0" fontId="8" fillId="7" borderId="13" xfId="0" applyFont="1" applyFill="1" applyBorder="1" applyAlignment="1" applyProtection="1">
      <alignment horizontal="left"/>
      <protection locked="0"/>
    </xf>
    <xf numFmtId="0" fontId="10" fillId="7" borderId="1" xfId="0" applyFont="1" applyFill="1" applyBorder="1" applyAlignment="1">
      <alignment horizontal="center"/>
    </xf>
    <xf numFmtId="0" fontId="15" fillId="17" borderId="106" xfId="0" applyFont="1" applyFill="1" applyBorder="1"/>
    <xf numFmtId="170" fontId="15" fillId="7" borderId="3" xfId="128" applyNumberFormat="1" applyFont="1" applyFill="1" applyBorder="1" applyAlignment="1">
      <alignment horizontal="right" wrapText="1"/>
    </xf>
    <xf numFmtId="3" fontId="15" fillId="7" borderId="5" xfId="128" applyNumberFormat="1" applyFont="1" applyFill="1" applyBorder="1" applyAlignment="1">
      <alignment wrapText="1"/>
    </xf>
    <xf numFmtId="3" fontId="15" fillId="7" borderId="84" xfId="128" applyNumberFormat="1" applyFont="1" applyFill="1" applyBorder="1"/>
    <xf numFmtId="0" fontId="15" fillId="17" borderId="97" xfId="0" applyFont="1" applyFill="1" applyBorder="1"/>
    <xf numFmtId="0" fontId="12" fillId="5" borderId="83" xfId="0" applyFont="1" applyFill="1" applyBorder="1" applyProtection="1">
      <protection locked="0"/>
    </xf>
    <xf numFmtId="1" fontId="12" fillId="5" borderId="83" xfId="0" applyNumberFormat="1" applyFont="1" applyFill="1" applyBorder="1" applyProtection="1">
      <protection locked="0"/>
    </xf>
    <xf numFmtId="170" fontId="12" fillId="5" borderId="83" xfId="128" applyNumberFormat="1" applyFont="1" applyFill="1" applyBorder="1" applyAlignment="1" applyProtection="1">
      <alignment horizontal="right" wrapText="1"/>
      <protection locked="0"/>
    </xf>
    <xf numFmtId="170" fontId="12" fillId="5" borderId="83" xfId="128" applyNumberFormat="1" applyFont="1" applyFill="1" applyBorder="1" applyAlignment="1">
      <alignment horizontal="right" wrapText="1"/>
    </xf>
    <xf numFmtId="170" fontId="15" fillId="5" borderId="83" xfId="128" applyNumberFormat="1" applyFont="1" applyFill="1" applyBorder="1" applyAlignment="1" applyProtection="1">
      <alignment horizontal="right" wrapText="1"/>
      <protection locked="0"/>
    </xf>
    <xf numFmtId="0" fontId="15" fillId="5" borderId="83" xfId="0" applyFont="1" applyFill="1" applyBorder="1" applyAlignment="1" applyProtection="1">
      <alignment horizontal="center"/>
      <protection locked="0"/>
    </xf>
    <xf numFmtId="3" fontId="12" fillId="5" borderId="83" xfId="128" applyNumberFormat="1" applyFont="1" applyFill="1" applyBorder="1" applyAlignment="1">
      <alignment wrapText="1"/>
    </xf>
    <xf numFmtId="3" fontId="12" fillId="5" borderId="84" xfId="128" applyNumberFormat="1" applyFont="1" applyFill="1" applyBorder="1"/>
    <xf numFmtId="0" fontId="13" fillId="7" borderId="68" xfId="8" applyFont="1" applyFill="1" applyBorder="1" applyAlignment="1" applyProtection="1">
      <alignment wrapText="1"/>
      <protection locked="0"/>
    </xf>
    <xf numFmtId="0" fontId="8" fillId="17" borderId="7" xfId="0" applyFont="1" applyFill="1" applyBorder="1" applyAlignment="1">
      <alignment wrapText="1"/>
    </xf>
    <xf numFmtId="0" fontId="8" fillId="7" borderId="10" xfId="0" applyFont="1" applyFill="1" applyBorder="1" applyProtection="1">
      <protection locked="0"/>
    </xf>
    <xf numFmtId="1" fontId="8" fillId="7" borderId="10" xfId="0" applyNumberFormat="1" applyFont="1" applyFill="1" applyBorder="1" applyProtection="1">
      <protection locked="0"/>
    </xf>
    <xf numFmtId="170" fontId="8" fillId="7" borderId="10" xfId="128" applyNumberFormat="1" applyFont="1" applyFill="1" applyBorder="1" applyAlignment="1" applyProtection="1">
      <alignment horizontal="right" wrapText="1"/>
      <protection locked="0"/>
    </xf>
    <xf numFmtId="170" fontId="8" fillId="7" borderId="10" xfId="128" applyNumberFormat="1" applyFont="1" applyFill="1" applyBorder="1" applyAlignment="1">
      <alignment horizontal="right" wrapText="1"/>
    </xf>
    <xf numFmtId="1" fontId="8" fillId="7" borderId="10" xfId="0" applyNumberFormat="1" applyFont="1" applyFill="1" applyBorder="1"/>
    <xf numFmtId="3" fontId="8" fillId="7" borderId="63" xfId="128" applyNumberFormat="1" applyFont="1" applyFill="1" applyBorder="1" applyAlignment="1">
      <alignment wrapText="1"/>
    </xf>
    <xf numFmtId="3" fontId="8" fillId="7" borderId="104" xfId="128" applyNumberFormat="1" applyFont="1" applyFill="1" applyBorder="1"/>
    <xf numFmtId="0" fontId="13" fillId="7" borderId="181" xfId="8" applyFont="1" applyFill="1" applyBorder="1" applyAlignment="1" applyProtection="1">
      <alignment wrapText="1"/>
      <protection locked="0"/>
    </xf>
    <xf numFmtId="0" fontId="8" fillId="17" borderId="10" xfId="0" applyFont="1" applyFill="1" applyBorder="1" applyAlignment="1">
      <alignment wrapText="1"/>
    </xf>
    <xf numFmtId="3" fontId="8" fillId="7" borderId="89" xfId="128" applyNumberFormat="1" applyFont="1" applyFill="1" applyBorder="1"/>
    <xf numFmtId="0" fontId="15" fillId="17" borderId="13" xfId="0" applyFont="1" applyFill="1" applyBorder="1"/>
    <xf numFmtId="170" fontId="15" fillId="7" borderId="1" xfId="128" applyNumberFormat="1" applyFont="1" applyFill="1" applyBorder="1" applyAlignment="1">
      <alignment horizontal="right" wrapText="1"/>
    </xf>
    <xf numFmtId="3" fontId="15" fillId="7" borderId="6" xfId="128" applyNumberFormat="1" applyFont="1" applyFill="1" applyBorder="1" applyAlignment="1">
      <alignment wrapText="1"/>
    </xf>
    <xf numFmtId="3" fontId="15" fillId="7" borderId="91" xfId="128" applyNumberFormat="1" applyFont="1" applyFill="1" applyBorder="1"/>
    <xf numFmtId="0" fontId="8" fillId="17" borderId="87" xfId="0" applyFont="1" applyFill="1" applyBorder="1" applyAlignment="1">
      <alignment wrapText="1"/>
    </xf>
    <xf numFmtId="170" fontId="8" fillId="7" borderId="8" xfId="128" applyNumberFormat="1" applyFont="1" applyFill="1" applyBorder="1" applyAlignment="1" applyProtection="1">
      <alignment horizontal="right" wrapText="1"/>
      <protection locked="0"/>
    </xf>
    <xf numFmtId="170" fontId="8" fillId="7" borderId="8" xfId="128" applyNumberFormat="1" applyFont="1" applyFill="1" applyBorder="1" applyAlignment="1">
      <alignment horizontal="right" wrapText="1"/>
    </xf>
    <xf numFmtId="3" fontId="8" fillId="7" borderId="85" xfId="128" applyNumberFormat="1" applyFont="1" applyFill="1" applyBorder="1" applyAlignment="1">
      <alignment wrapText="1"/>
    </xf>
    <xf numFmtId="3" fontId="8" fillId="7" borderId="9" xfId="128" applyNumberFormat="1" applyFont="1" applyFill="1" applyBorder="1"/>
    <xf numFmtId="0" fontId="15" fillId="17" borderId="105" xfId="0" applyFont="1" applyFill="1" applyBorder="1"/>
    <xf numFmtId="170" fontId="15" fillId="7" borderId="90" xfId="128" applyNumberFormat="1" applyFont="1" applyFill="1" applyBorder="1" applyAlignment="1">
      <alignment horizontal="right" wrapText="1"/>
    </xf>
    <xf numFmtId="3" fontId="15" fillId="7" borderId="113" xfId="128" applyNumberFormat="1" applyFont="1" applyFill="1" applyBorder="1" applyAlignment="1">
      <alignment wrapText="1"/>
    </xf>
    <xf numFmtId="0" fontId="16" fillId="5" borderId="97" xfId="0" applyFont="1" applyFill="1" applyBorder="1"/>
    <xf numFmtId="0" fontId="8" fillId="7" borderId="102" xfId="0" applyFont="1" applyFill="1" applyBorder="1" applyProtection="1">
      <protection locked="0"/>
    </xf>
    <xf numFmtId="0" fontId="8" fillId="17" borderId="99" xfId="0" applyFont="1" applyFill="1" applyBorder="1" applyAlignment="1">
      <alignment wrapText="1"/>
    </xf>
    <xf numFmtId="3" fontId="8" fillId="7" borderId="7" xfId="128" applyNumberFormat="1" applyFont="1" applyFill="1" applyBorder="1" applyAlignment="1">
      <alignment wrapText="1"/>
    </xf>
    <xf numFmtId="3" fontId="8" fillId="7" borderId="92" xfId="128" applyNumberFormat="1" applyFont="1" applyFill="1" applyBorder="1"/>
    <xf numFmtId="0" fontId="8" fillId="7" borderId="99" xfId="0" applyFont="1" applyFill="1" applyBorder="1" applyProtection="1">
      <protection locked="0"/>
    </xf>
    <xf numFmtId="3" fontId="8" fillId="7" borderId="3" xfId="128" applyNumberFormat="1" applyFont="1" applyFill="1" applyBorder="1" applyAlignment="1">
      <alignment wrapText="1"/>
    </xf>
    <xf numFmtId="3" fontId="8" fillId="7" borderId="10" xfId="128" applyNumberFormat="1" applyFont="1" applyFill="1" applyBorder="1" applyAlignment="1">
      <alignment wrapText="1"/>
    </xf>
    <xf numFmtId="0" fontId="8" fillId="7" borderId="106" xfId="0" applyFont="1" applyFill="1" applyBorder="1" applyProtection="1">
      <protection locked="0"/>
    </xf>
    <xf numFmtId="0" fontId="15" fillId="7" borderId="107" xfId="0" applyFont="1" applyFill="1" applyBorder="1"/>
    <xf numFmtId="0" fontId="15" fillId="17" borderId="107" xfId="0" applyFont="1" applyFill="1" applyBorder="1"/>
    <xf numFmtId="0" fontId="15" fillId="7" borderId="2" xfId="0" applyFont="1" applyFill="1" applyBorder="1"/>
    <xf numFmtId="1" fontId="15" fillId="7" borderId="2" xfId="0" applyNumberFormat="1" applyFont="1" applyFill="1" applyBorder="1" applyAlignment="1">
      <alignment horizontal="right"/>
    </xf>
    <xf numFmtId="170" fontId="15" fillId="7" borderId="2" xfId="128" applyNumberFormat="1" applyFont="1" applyFill="1" applyBorder="1" applyAlignment="1">
      <alignment horizontal="right" wrapText="1"/>
    </xf>
    <xf numFmtId="1" fontId="15" fillId="7" borderId="2" xfId="0" applyNumberFormat="1" applyFont="1" applyFill="1" applyBorder="1"/>
    <xf numFmtId="3" fontId="15" fillId="7" borderId="4" xfId="128" applyNumberFormat="1" applyFont="1" applyFill="1" applyBorder="1" applyAlignment="1">
      <alignment wrapText="1"/>
    </xf>
    <xf numFmtId="3" fontId="15" fillId="7" borderId="110" xfId="128" applyNumberFormat="1" applyFont="1" applyFill="1" applyBorder="1"/>
    <xf numFmtId="0" fontId="16" fillId="5" borderId="102" xfId="0" applyFont="1" applyFill="1" applyBorder="1" applyProtection="1">
      <protection locked="0"/>
    </xf>
    <xf numFmtId="1" fontId="12" fillId="5" borderId="7" xfId="0" applyNumberFormat="1" applyFont="1" applyFill="1" applyBorder="1"/>
    <xf numFmtId="0" fontId="16" fillId="5" borderId="106" xfId="0" applyFont="1" applyFill="1" applyBorder="1" applyProtection="1">
      <protection locked="0"/>
    </xf>
    <xf numFmtId="1" fontId="12" fillId="5" borderId="3" xfId="0" applyNumberFormat="1" applyFont="1" applyFill="1" applyBorder="1"/>
    <xf numFmtId="3" fontId="15" fillId="7" borderId="89" xfId="128" applyNumberFormat="1" applyFont="1" applyFill="1" applyBorder="1"/>
    <xf numFmtId="0" fontId="13" fillId="7" borderId="102" xfId="8" applyFont="1" applyFill="1" applyBorder="1" applyAlignment="1" applyProtection="1">
      <alignment wrapText="1"/>
      <protection locked="0"/>
    </xf>
    <xf numFmtId="0" fontId="8" fillId="17" borderId="102" xfId="0" applyFont="1" applyFill="1" applyBorder="1" applyAlignment="1">
      <alignment wrapText="1"/>
    </xf>
    <xf numFmtId="1" fontId="8" fillId="7" borderId="102" xfId="0" applyNumberFormat="1" applyFont="1" applyFill="1" applyBorder="1" applyProtection="1">
      <protection locked="0"/>
    </xf>
    <xf numFmtId="170" fontId="8" fillId="7" borderId="102" xfId="128" applyNumberFormat="1" applyFont="1" applyFill="1" applyBorder="1" applyAlignment="1" applyProtection="1">
      <alignment horizontal="right" wrapText="1"/>
      <protection locked="0"/>
    </xf>
    <xf numFmtId="170" fontId="8" fillId="7" borderId="102" xfId="128" applyNumberFormat="1" applyFont="1" applyFill="1" applyBorder="1" applyAlignment="1">
      <alignment horizontal="right" wrapText="1"/>
    </xf>
    <xf numFmtId="1" fontId="8" fillId="7" borderId="102" xfId="0" applyNumberFormat="1" applyFont="1" applyFill="1" applyBorder="1"/>
    <xf numFmtId="3" fontId="8" fillId="7" borderId="102" xfId="128" applyNumberFormat="1" applyFont="1" applyFill="1" applyBorder="1" applyAlignment="1">
      <alignment wrapText="1"/>
    </xf>
    <xf numFmtId="3" fontId="8" fillId="7" borderId="111" xfId="128" applyNumberFormat="1" applyFont="1" applyFill="1" applyBorder="1"/>
    <xf numFmtId="170" fontId="15" fillId="7" borderId="97" xfId="128" applyNumberFormat="1" applyFont="1" applyFill="1" applyBorder="1" applyAlignment="1">
      <alignment horizontal="right" wrapText="1"/>
    </xf>
    <xf numFmtId="170" fontId="15" fillId="7" borderId="106" xfId="128" applyNumberFormat="1" applyFont="1" applyFill="1" applyBorder="1" applyAlignment="1">
      <alignment horizontal="right" wrapText="1"/>
    </xf>
    <xf numFmtId="3" fontId="15" fillId="7" borderId="97" xfId="128" applyNumberFormat="1" applyFont="1" applyFill="1" applyBorder="1" applyAlignment="1">
      <alignment wrapText="1"/>
    </xf>
    <xf numFmtId="3" fontId="15" fillId="7" borderId="93" xfId="128" applyNumberFormat="1" applyFont="1" applyFill="1" applyBorder="1"/>
    <xf numFmtId="0" fontId="15" fillId="5" borderId="11" xfId="0" applyFont="1" applyFill="1" applyBorder="1"/>
    <xf numFmtId="0" fontId="8" fillId="7" borderId="99" xfId="0" applyFont="1" applyFill="1" applyBorder="1" applyAlignment="1" applyProtection="1">
      <alignment wrapText="1"/>
      <protection locked="0"/>
    </xf>
    <xf numFmtId="164" fontId="8" fillId="7" borderId="10" xfId="128" applyFont="1" applyFill="1" applyBorder="1" applyProtection="1">
      <protection locked="0"/>
    </xf>
    <xf numFmtId="164" fontId="8" fillId="7" borderId="10" xfId="128" applyFont="1" applyFill="1" applyBorder="1"/>
    <xf numFmtId="164" fontId="8" fillId="7" borderId="92" xfId="128" applyFont="1" applyFill="1" applyBorder="1"/>
    <xf numFmtId="0" fontId="15" fillId="7" borderId="13" xfId="0" applyFont="1" applyFill="1" applyBorder="1"/>
    <xf numFmtId="164" fontId="15" fillId="7" borderId="6" xfId="128" applyFont="1" applyFill="1" applyBorder="1"/>
    <xf numFmtId="164" fontId="15" fillId="7" borderId="182" xfId="128" applyFont="1" applyFill="1" applyBorder="1"/>
    <xf numFmtId="164" fontId="15" fillId="7" borderId="2" xfId="128" applyFont="1" applyFill="1" applyBorder="1"/>
    <xf numFmtId="164" fontId="15" fillId="7" borderId="4" xfId="128" applyFont="1" applyFill="1" applyBorder="1"/>
    <xf numFmtId="164" fontId="15" fillId="7" borderId="110" xfId="128" applyFont="1" applyFill="1" applyBorder="1"/>
    <xf numFmtId="0" fontId="15" fillId="5" borderId="11" xfId="0" applyFont="1" applyFill="1" applyBorder="1" applyProtection="1">
      <protection locked="0"/>
    </xf>
    <xf numFmtId="0" fontId="15" fillId="11" borderId="98" xfId="0" applyFont="1" applyFill="1" applyBorder="1" applyProtection="1">
      <protection locked="0"/>
    </xf>
    <xf numFmtId="164" fontId="15" fillId="5" borderId="7" xfId="128" applyFont="1" applyFill="1" applyBorder="1" applyAlignment="1">
      <alignment horizontal="center"/>
    </xf>
    <xf numFmtId="164" fontId="12" fillId="5" borderId="92" xfId="128" applyFont="1" applyFill="1" applyBorder="1"/>
    <xf numFmtId="0" fontId="16" fillId="5" borderId="99" xfId="0" applyFont="1" applyFill="1" applyBorder="1" applyProtection="1">
      <protection locked="0"/>
    </xf>
    <xf numFmtId="0" fontId="15" fillId="11" borderId="99" xfId="0" applyFont="1" applyFill="1" applyBorder="1" applyProtection="1">
      <protection locked="0"/>
    </xf>
    <xf numFmtId="1" fontId="12" fillId="5" borderId="10" xfId="0" applyNumberFormat="1" applyFont="1" applyFill="1" applyBorder="1"/>
    <xf numFmtId="164" fontId="15" fillId="5" borderId="10" xfId="128" applyFont="1" applyFill="1" applyBorder="1" applyAlignment="1">
      <alignment horizontal="center"/>
    </xf>
    <xf numFmtId="0" fontId="15" fillId="11" borderId="106" xfId="0" applyFont="1" applyFill="1" applyBorder="1" applyProtection="1">
      <protection locked="0"/>
    </xf>
    <xf numFmtId="164" fontId="12" fillId="5" borderId="3" xfId="128" applyFont="1" applyFill="1" applyBorder="1"/>
    <xf numFmtId="164" fontId="15" fillId="5" borderId="3" xfId="128" applyFont="1" applyFill="1" applyBorder="1" applyAlignment="1">
      <alignment horizontal="center"/>
    </xf>
    <xf numFmtId="164" fontId="12" fillId="5" borderId="109" xfId="128" applyFont="1" applyFill="1" applyBorder="1"/>
    <xf numFmtId="0" fontId="8" fillId="7" borderId="1" xfId="0" applyFont="1" applyFill="1" applyBorder="1" applyAlignment="1">
      <alignment horizontal="center" vertical="center"/>
    </xf>
    <xf numFmtId="0" fontId="10" fillId="7" borderId="6" xfId="0" applyFont="1" applyFill="1" applyBorder="1" applyAlignment="1">
      <alignment horizontal="center" vertical="center" wrapText="1"/>
    </xf>
    <xf numFmtId="0" fontId="10" fillId="7" borderId="1" xfId="0" applyFont="1" applyFill="1" applyBorder="1" applyAlignment="1">
      <alignment horizontal="left" vertical="center"/>
    </xf>
    <xf numFmtId="0" fontId="9" fillId="7" borderId="0" xfId="0" applyFont="1" applyFill="1" applyAlignment="1">
      <alignment horizontal="center"/>
    </xf>
    <xf numFmtId="0" fontId="17" fillId="0" borderId="0" xfId="0" applyFont="1" applyAlignment="1">
      <alignment horizontal="left" vertical="center" wrapText="1"/>
    </xf>
    <xf numFmtId="0" fontId="17" fillId="0" borderId="99" xfId="0" applyFont="1" applyBorder="1" applyAlignment="1">
      <alignment horizontal="left" vertical="center" wrapText="1"/>
    </xf>
    <xf numFmtId="0" fontId="17" fillId="0" borderId="63" xfId="0" applyFont="1" applyBorder="1" applyAlignment="1">
      <alignment horizontal="left" vertical="center" wrapText="1"/>
    </xf>
    <xf numFmtId="164" fontId="17" fillId="6" borderId="152" xfId="128" applyFont="1" applyFill="1" applyBorder="1" applyAlignment="1">
      <alignment horizontal="center" vertical="center"/>
    </xf>
    <xf numFmtId="164" fontId="17" fillId="6" borderId="155" xfId="128" applyFont="1" applyFill="1" applyBorder="1" applyAlignment="1">
      <alignment horizontal="center" vertical="center"/>
    </xf>
    <xf numFmtId="0" fontId="33" fillId="3" borderId="128" xfId="0" applyFont="1" applyFill="1" applyBorder="1" applyAlignment="1">
      <alignment horizontal="center" vertical="center" wrapText="1"/>
    </xf>
    <xf numFmtId="0" fontId="9" fillId="18" borderId="7" xfId="0" applyFont="1" applyFill="1" applyBorder="1" applyAlignment="1" applyProtection="1">
      <alignment horizontal="centerContinuous"/>
      <protection locked="0"/>
    </xf>
    <xf numFmtId="0" fontId="9" fillId="18" borderId="10" xfId="0" applyFont="1" applyFill="1" applyBorder="1" applyAlignment="1" applyProtection="1">
      <alignment horizontal="center" vertical="center" wrapText="1"/>
      <protection locked="0"/>
    </xf>
    <xf numFmtId="0" fontId="9" fillId="18" borderId="10" xfId="0" applyFont="1" applyFill="1" applyBorder="1" applyAlignment="1" applyProtection="1">
      <alignment horizontal="center"/>
      <protection locked="0"/>
    </xf>
    <xf numFmtId="0" fontId="9" fillId="18" borderId="10" xfId="0" applyFont="1" applyFill="1" applyBorder="1" applyAlignment="1" applyProtection="1">
      <alignment horizontal="left"/>
      <protection locked="0"/>
    </xf>
    <xf numFmtId="0" fontId="9" fillId="18" borderId="2" xfId="0" applyFont="1" applyFill="1" applyBorder="1" applyAlignment="1" applyProtection="1">
      <alignment horizontal="center"/>
      <protection locked="0"/>
    </xf>
    <xf numFmtId="0" fontId="9" fillId="18" borderId="92" xfId="0" applyFont="1" applyFill="1" applyBorder="1" applyAlignment="1" applyProtection="1">
      <alignment horizontal="center"/>
      <protection locked="0"/>
    </xf>
    <xf numFmtId="0" fontId="15" fillId="18" borderId="10" xfId="0" applyFont="1" applyFill="1" applyBorder="1" applyAlignment="1" applyProtection="1">
      <alignment horizontal="center"/>
      <protection locked="0"/>
    </xf>
    <xf numFmtId="0" fontId="9" fillId="18" borderId="96" xfId="0" applyFont="1" applyFill="1" applyBorder="1" applyAlignment="1" applyProtection="1">
      <alignment horizontal="center"/>
      <protection locked="0"/>
    </xf>
    <xf numFmtId="0" fontId="9" fillId="18" borderId="83" xfId="0" applyFont="1" applyFill="1" applyBorder="1" applyAlignment="1" applyProtection="1">
      <alignment horizontal="center"/>
      <protection locked="0"/>
    </xf>
    <xf numFmtId="0" fontId="9" fillId="18" borderId="93" xfId="0" applyFont="1" applyFill="1" applyBorder="1" applyAlignment="1" applyProtection="1">
      <alignment horizontal="center"/>
      <protection locked="0"/>
    </xf>
    <xf numFmtId="0" fontId="9" fillId="18" borderId="101" xfId="4" applyFont="1" applyFill="1" applyBorder="1" applyAlignment="1">
      <alignment vertical="center" wrapText="1"/>
    </xf>
    <xf numFmtId="0" fontId="15" fillId="18" borderId="98" xfId="0" applyFont="1" applyFill="1" applyBorder="1"/>
    <xf numFmtId="0" fontId="12" fillId="18" borderId="11" xfId="0" applyFont="1" applyFill="1" applyBorder="1" applyProtection="1">
      <protection locked="0"/>
    </xf>
    <xf numFmtId="1" fontId="12" fillId="18" borderId="11" xfId="0" applyNumberFormat="1" applyFont="1" applyFill="1" applyBorder="1" applyProtection="1">
      <protection locked="0"/>
    </xf>
    <xf numFmtId="164" fontId="12" fillId="18" borderId="11" xfId="128" applyFont="1" applyFill="1" applyBorder="1" applyProtection="1">
      <protection locked="0"/>
    </xf>
    <xf numFmtId="164" fontId="15" fillId="18" borderId="11" xfId="128" applyFont="1" applyFill="1" applyBorder="1" applyAlignment="1">
      <alignment horizontal="right"/>
    </xf>
    <xf numFmtId="1" fontId="15" fillId="18" borderId="11" xfId="0" applyNumberFormat="1" applyFont="1" applyFill="1" applyBorder="1" applyAlignment="1" applyProtection="1">
      <alignment horizontal="center"/>
      <protection locked="0"/>
    </xf>
    <xf numFmtId="164" fontId="15" fillId="18" borderId="11" xfId="128" applyFont="1" applyFill="1" applyBorder="1" applyAlignment="1" applyProtection="1">
      <alignment horizontal="center"/>
      <protection locked="0"/>
    </xf>
    <xf numFmtId="0" fontId="15" fillId="18" borderId="11" xfId="0" applyFont="1" applyFill="1" applyBorder="1" applyAlignment="1" applyProtection="1">
      <alignment horizontal="center"/>
      <protection locked="0"/>
    </xf>
    <xf numFmtId="164" fontId="15" fillId="18" borderId="12" xfId="128" applyFont="1" applyFill="1" applyBorder="1" applyAlignment="1">
      <alignment horizontal="right"/>
    </xf>
    <xf numFmtId="0" fontId="15" fillId="18" borderId="97" xfId="0" applyFont="1" applyFill="1" applyBorder="1"/>
    <xf numFmtId="0" fontId="12" fillId="18" borderId="83" xfId="0" applyFont="1" applyFill="1" applyBorder="1" applyProtection="1">
      <protection locked="0"/>
    </xf>
    <xf numFmtId="1" fontId="12" fillId="18" borderId="83" xfId="0" applyNumberFormat="1" applyFont="1" applyFill="1" applyBorder="1" applyProtection="1">
      <protection locked="0"/>
    </xf>
    <xf numFmtId="170" fontId="12" fillId="18" borderId="83" xfId="128" applyNumberFormat="1" applyFont="1" applyFill="1" applyBorder="1" applyAlignment="1" applyProtection="1">
      <alignment horizontal="right" wrapText="1"/>
      <protection locked="0"/>
    </xf>
    <xf numFmtId="170" fontId="12" fillId="18" borderId="83" xfId="128" applyNumberFormat="1" applyFont="1" applyFill="1" applyBorder="1" applyAlignment="1">
      <alignment horizontal="right" wrapText="1"/>
    </xf>
    <xf numFmtId="170" fontId="15" fillId="18" borderId="83" xfId="128" applyNumberFormat="1" applyFont="1" applyFill="1" applyBorder="1" applyAlignment="1" applyProtection="1">
      <alignment horizontal="right" wrapText="1"/>
      <protection locked="0"/>
    </xf>
    <xf numFmtId="0" fontId="15" fillId="18" borderId="83" xfId="0" applyFont="1" applyFill="1" applyBorder="1" applyAlignment="1" applyProtection="1">
      <alignment horizontal="center"/>
      <protection locked="0"/>
    </xf>
    <xf numFmtId="3" fontId="12" fillId="18" borderId="83" xfId="128" applyNumberFormat="1" applyFont="1" applyFill="1" applyBorder="1" applyAlignment="1">
      <alignment wrapText="1"/>
    </xf>
    <xf numFmtId="3" fontId="12" fillId="18" borderId="84" xfId="128" applyNumberFormat="1" applyFont="1" applyFill="1" applyBorder="1"/>
    <xf numFmtId="0" fontId="16" fillId="19" borderId="87" xfId="0" applyFont="1" applyFill="1" applyBorder="1" applyProtection="1">
      <protection locked="0"/>
    </xf>
    <xf numFmtId="0" fontId="15" fillId="19" borderId="87" xfId="0" applyFont="1" applyFill="1" applyBorder="1"/>
    <xf numFmtId="0" fontId="12" fillId="19" borderId="8" xfId="0" applyFont="1" applyFill="1" applyBorder="1" applyProtection="1">
      <protection locked="0"/>
    </xf>
    <xf numFmtId="1" fontId="12" fillId="19" borderId="8" xfId="0" applyNumberFormat="1" applyFont="1" applyFill="1" applyBorder="1" applyProtection="1">
      <protection locked="0"/>
    </xf>
    <xf numFmtId="170" fontId="12" fillId="19" borderId="8" xfId="128" applyNumberFormat="1" applyFont="1" applyFill="1" applyBorder="1" applyAlignment="1" applyProtection="1">
      <alignment horizontal="right" wrapText="1"/>
      <protection locked="0"/>
    </xf>
    <xf numFmtId="170" fontId="12" fillId="19" borderId="8" xfId="128" applyNumberFormat="1" applyFont="1" applyFill="1" applyBorder="1" applyAlignment="1">
      <alignment horizontal="right" wrapText="1"/>
    </xf>
    <xf numFmtId="170" fontId="15" fillId="19" borderId="8" xfId="128" applyNumberFormat="1" applyFont="1" applyFill="1" applyBorder="1" applyAlignment="1" applyProtection="1">
      <alignment horizontal="right" wrapText="1"/>
      <protection locked="0"/>
    </xf>
    <xf numFmtId="0" fontId="15" fillId="19" borderId="8" xfId="0" applyFont="1" applyFill="1" applyBorder="1" applyAlignment="1" applyProtection="1">
      <alignment horizontal="center"/>
      <protection locked="0"/>
    </xf>
    <xf numFmtId="1" fontId="12" fillId="19" borderId="8" xfId="0" applyNumberFormat="1" applyFont="1" applyFill="1" applyBorder="1"/>
    <xf numFmtId="170" fontId="15" fillId="19" borderId="8" xfId="128" applyNumberFormat="1" applyFont="1" applyFill="1" applyBorder="1" applyAlignment="1">
      <alignment horizontal="right" wrapText="1"/>
    </xf>
    <xf numFmtId="3" fontId="12" fillId="19" borderId="8" xfId="128" applyNumberFormat="1" applyFont="1" applyFill="1" applyBorder="1" applyAlignment="1">
      <alignment wrapText="1"/>
    </xf>
    <xf numFmtId="3" fontId="12" fillId="19" borderId="9" xfId="128" applyNumberFormat="1" applyFont="1" applyFill="1" applyBorder="1"/>
    <xf numFmtId="170" fontId="12" fillId="18" borderId="11" xfId="128" applyNumberFormat="1" applyFont="1" applyFill="1" applyBorder="1" applyAlignment="1" applyProtection="1">
      <alignment horizontal="right" wrapText="1"/>
      <protection locked="0"/>
    </xf>
    <xf numFmtId="170" fontId="15" fillId="18" borderId="11" xfId="128" applyNumberFormat="1" applyFont="1" applyFill="1" applyBorder="1" applyAlignment="1">
      <alignment horizontal="right" wrapText="1"/>
    </xf>
    <xf numFmtId="170" fontId="15" fillId="18" borderId="11" xfId="128" applyNumberFormat="1" applyFont="1" applyFill="1" applyBorder="1" applyAlignment="1" applyProtection="1">
      <alignment horizontal="right" wrapText="1"/>
      <protection locked="0"/>
    </xf>
    <xf numFmtId="3" fontId="15" fillId="18" borderId="11" xfId="128" applyNumberFormat="1" applyFont="1" applyFill="1" applyBorder="1" applyAlignment="1">
      <alignment wrapText="1"/>
    </xf>
    <xf numFmtId="3" fontId="15" fillId="18" borderId="12" xfId="128" applyNumberFormat="1" applyFont="1" applyFill="1" applyBorder="1"/>
    <xf numFmtId="0" fontId="16" fillId="19" borderId="98" xfId="0" applyFont="1" applyFill="1" applyBorder="1"/>
    <xf numFmtId="0" fontId="15" fillId="19" borderId="97" xfId="0" applyFont="1" applyFill="1" applyBorder="1"/>
    <xf numFmtId="0" fontId="12" fillId="19" borderId="83" xfId="0" applyFont="1" applyFill="1" applyBorder="1" applyProtection="1">
      <protection locked="0"/>
    </xf>
    <xf numFmtId="1" fontId="12" fillId="19" borderId="83" xfId="0" applyNumberFormat="1" applyFont="1" applyFill="1" applyBorder="1" applyProtection="1">
      <protection locked="0"/>
    </xf>
    <xf numFmtId="170" fontId="12" fillId="19" borderId="83" xfId="128" applyNumberFormat="1" applyFont="1" applyFill="1" applyBorder="1" applyAlignment="1" applyProtection="1">
      <alignment horizontal="right" wrapText="1"/>
      <protection locked="0"/>
    </xf>
    <xf numFmtId="170" fontId="12" fillId="19" borderId="83" xfId="128" applyNumberFormat="1" applyFont="1" applyFill="1" applyBorder="1" applyAlignment="1">
      <alignment horizontal="right" wrapText="1"/>
    </xf>
    <xf numFmtId="170" fontId="15" fillId="19" borderId="83" xfId="128" applyNumberFormat="1" applyFont="1" applyFill="1" applyBorder="1" applyAlignment="1" applyProtection="1">
      <alignment horizontal="right" wrapText="1"/>
      <protection locked="0"/>
    </xf>
    <xf numFmtId="0" fontId="15" fillId="19" borderId="83" xfId="0" applyFont="1" applyFill="1" applyBorder="1" applyAlignment="1" applyProtection="1">
      <alignment horizontal="center"/>
      <protection locked="0"/>
    </xf>
    <xf numFmtId="3" fontId="12" fillId="19" borderId="83" xfId="128" applyNumberFormat="1" applyFont="1" applyFill="1" applyBorder="1" applyAlignment="1">
      <alignment wrapText="1"/>
    </xf>
    <xf numFmtId="3" fontId="12" fillId="19" borderId="84" xfId="128" applyNumberFormat="1" applyFont="1" applyFill="1" applyBorder="1"/>
    <xf numFmtId="0" fontId="15" fillId="19" borderId="98" xfId="0" applyFont="1" applyFill="1" applyBorder="1"/>
    <xf numFmtId="0" fontId="12" fillId="19" borderId="11" xfId="0" applyFont="1" applyFill="1" applyBorder="1" applyProtection="1">
      <protection locked="0"/>
    </xf>
    <xf numFmtId="1" fontId="12" fillId="19" borderId="11" xfId="0" applyNumberFormat="1" applyFont="1" applyFill="1" applyBorder="1" applyProtection="1">
      <protection locked="0"/>
    </xf>
    <xf numFmtId="170" fontId="12" fillId="19" borderId="11" xfId="128" applyNumberFormat="1" applyFont="1" applyFill="1" applyBorder="1" applyAlignment="1" applyProtection="1">
      <alignment horizontal="right" wrapText="1"/>
      <protection locked="0"/>
    </xf>
    <xf numFmtId="170" fontId="12" fillId="19" borderId="11" xfId="128" applyNumberFormat="1" applyFont="1" applyFill="1" applyBorder="1" applyAlignment="1">
      <alignment horizontal="right" wrapText="1"/>
    </xf>
    <xf numFmtId="170" fontId="15" fillId="19" borderId="11" xfId="128" applyNumberFormat="1" applyFont="1" applyFill="1" applyBorder="1" applyAlignment="1" applyProtection="1">
      <alignment horizontal="right" wrapText="1"/>
      <protection locked="0"/>
    </xf>
    <xf numFmtId="0" fontId="15" fillId="19" borderId="11" xfId="0" applyFont="1" applyFill="1" applyBorder="1" applyAlignment="1" applyProtection="1">
      <alignment horizontal="center"/>
      <protection locked="0"/>
    </xf>
    <xf numFmtId="3" fontId="12" fillId="19" borderId="11" xfId="128" applyNumberFormat="1" applyFont="1" applyFill="1" applyBorder="1" applyAlignment="1">
      <alignment wrapText="1"/>
    </xf>
    <xf numFmtId="3" fontId="12" fillId="19" borderId="12" xfId="128" applyNumberFormat="1" applyFont="1" applyFill="1" applyBorder="1"/>
    <xf numFmtId="0" fontId="16" fillId="19" borderId="97" xfId="0" applyFont="1" applyFill="1" applyBorder="1"/>
    <xf numFmtId="0" fontId="15" fillId="18" borderId="100" xfId="0" applyFont="1" applyFill="1" applyBorder="1"/>
    <xf numFmtId="170" fontId="12" fillId="18" borderId="11" xfId="128" applyNumberFormat="1" applyFont="1" applyFill="1" applyBorder="1" applyAlignment="1">
      <alignment horizontal="right" wrapText="1"/>
    </xf>
    <xf numFmtId="3" fontId="12" fillId="18" borderId="11" xfId="128" applyNumberFormat="1" applyFont="1" applyFill="1" applyBorder="1" applyAlignment="1">
      <alignment wrapText="1"/>
    </xf>
    <xf numFmtId="3" fontId="12" fillId="18" borderId="12" xfId="128" applyNumberFormat="1" applyFont="1" applyFill="1" applyBorder="1"/>
    <xf numFmtId="0" fontId="16" fillId="19" borderId="102" xfId="0" applyFont="1" applyFill="1" applyBorder="1" applyProtection="1">
      <protection locked="0"/>
    </xf>
    <xf numFmtId="0" fontId="15" fillId="19" borderId="102" xfId="0" applyFont="1" applyFill="1" applyBorder="1"/>
    <xf numFmtId="0" fontId="12" fillId="19" borderId="7" xfId="0" applyFont="1" applyFill="1" applyBorder="1" applyProtection="1">
      <protection locked="0"/>
    </xf>
    <xf numFmtId="1" fontId="12" fillId="19" borderId="7" xfId="0" applyNumberFormat="1" applyFont="1" applyFill="1" applyBorder="1" applyProtection="1">
      <protection locked="0"/>
    </xf>
    <xf numFmtId="170" fontId="12" fillId="19" borderId="7" xfId="128" applyNumberFormat="1" applyFont="1" applyFill="1" applyBorder="1" applyAlignment="1" applyProtection="1">
      <alignment horizontal="right" wrapText="1"/>
      <protection locked="0"/>
    </xf>
    <xf numFmtId="170" fontId="12" fillId="19" borderId="7" xfId="128" applyNumberFormat="1" applyFont="1" applyFill="1" applyBorder="1" applyAlignment="1">
      <alignment horizontal="right" wrapText="1"/>
    </xf>
    <xf numFmtId="170" fontId="15" fillId="19" borderId="7" xfId="128" applyNumberFormat="1" applyFont="1" applyFill="1" applyBorder="1" applyAlignment="1" applyProtection="1">
      <alignment horizontal="right" wrapText="1"/>
      <protection locked="0"/>
    </xf>
    <xf numFmtId="0" fontId="15" fillId="19" borderId="7" xfId="0" applyFont="1" applyFill="1" applyBorder="1" applyAlignment="1" applyProtection="1">
      <alignment horizontal="center"/>
      <protection locked="0"/>
    </xf>
    <xf numFmtId="1" fontId="12" fillId="19" borderId="7" xfId="0" applyNumberFormat="1" applyFont="1" applyFill="1" applyBorder="1"/>
    <xf numFmtId="170" fontId="15" fillId="19" borderId="7" xfId="128" applyNumberFormat="1" applyFont="1" applyFill="1" applyBorder="1" applyAlignment="1">
      <alignment horizontal="right" wrapText="1"/>
    </xf>
    <xf numFmtId="3" fontId="12" fillId="19" borderId="7" xfId="128" applyNumberFormat="1" applyFont="1" applyFill="1" applyBorder="1" applyAlignment="1">
      <alignment wrapText="1"/>
    </xf>
    <xf numFmtId="3" fontId="12" fillId="19" borderId="104" xfId="128" applyNumberFormat="1" applyFont="1" applyFill="1" applyBorder="1"/>
    <xf numFmtId="0" fontId="16" fillId="19" borderId="106" xfId="0" applyFont="1" applyFill="1" applyBorder="1" applyProtection="1">
      <protection locked="0"/>
    </xf>
    <xf numFmtId="0" fontId="15" fillId="19" borderId="3" xfId="0" applyFont="1" applyFill="1" applyBorder="1"/>
    <xf numFmtId="0" fontId="12" fillId="19" borderId="3" xfId="0" applyFont="1" applyFill="1" applyBorder="1" applyProtection="1">
      <protection locked="0"/>
    </xf>
    <xf numFmtId="1" fontId="12" fillId="19" borderId="3" xfId="0" applyNumberFormat="1" applyFont="1" applyFill="1" applyBorder="1" applyProtection="1">
      <protection locked="0"/>
    </xf>
    <xf numFmtId="170" fontId="12" fillId="19" borderId="3" xfId="128" applyNumberFormat="1" applyFont="1" applyFill="1" applyBorder="1" applyAlignment="1" applyProtection="1">
      <alignment horizontal="right" wrapText="1"/>
      <protection locked="0"/>
    </xf>
    <xf numFmtId="170" fontId="12" fillId="19" borderId="3" xfId="128" applyNumberFormat="1" applyFont="1" applyFill="1" applyBorder="1" applyAlignment="1">
      <alignment horizontal="right" wrapText="1"/>
    </xf>
    <xf numFmtId="170" fontId="15" fillId="19" borderId="3" xfId="128" applyNumberFormat="1" applyFont="1" applyFill="1" applyBorder="1" applyAlignment="1" applyProtection="1">
      <alignment horizontal="right" wrapText="1"/>
      <protection locked="0"/>
    </xf>
    <xf numFmtId="0" fontId="15" fillId="19" borderId="3" xfId="0" applyFont="1" applyFill="1" applyBorder="1" applyAlignment="1" applyProtection="1">
      <alignment horizontal="center"/>
      <protection locked="0"/>
    </xf>
    <xf numFmtId="1" fontId="12" fillId="19" borderId="3" xfId="0" applyNumberFormat="1" applyFont="1" applyFill="1" applyBorder="1"/>
    <xf numFmtId="170" fontId="15" fillId="19" borderId="3" xfId="128" applyNumberFormat="1" applyFont="1" applyFill="1" applyBorder="1" applyAlignment="1">
      <alignment horizontal="right" wrapText="1"/>
    </xf>
    <xf numFmtId="3" fontId="12" fillId="19" borderId="3" xfId="128" applyNumberFormat="1" applyFont="1" applyFill="1" applyBorder="1" applyAlignment="1">
      <alignment wrapText="1"/>
    </xf>
    <xf numFmtId="3" fontId="12" fillId="19" borderId="89" xfId="128" applyNumberFormat="1" applyFont="1" applyFill="1" applyBorder="1"/>
    <xf numFmtId="0" fontId="16" fillId="19" borderId="102" xfId="0" applyFont="1" applyFill="1" applyBorder="1"/>
    <xf numFmtId="0" fontId="13" fillId="7" borderId="106" xfId="8" applyFont="1" applyFill="1" applyBorder="1" applyAlignment="1" applyProtection="1">
      <alignment wrapText="1"/>
      <protection locked="0"/>
    </xf>
    <xf numFmtId="0" fontId="8" fillId="17" borderId="106" xfId="0" applyFont="1" applyFill="1" applyBorder="1" applyAlignment="1">
      <alignment wrapText="1"/>
    </xf>
    <xf numFmtId="1" fontId="8" fillId="7" borderId="106" xfId="0" applyNumberFormat="1" applyFont="1" applyFill="1" applyBorder="1" applyProtection="1">
      <protection locked="0"/>
    </xf>
    <xf numFmtId="170" fontId="8" fillId="7" borderId="106" xfId="128" applyNumberFormat="1" applyFont="1" applyFill="1" applyBorder="1" applyAlignment="1" applyProtection="1">
      <alignment horizontal="right" wrapText="1"/>
      <protection locked="0"/>
    </xf>
    <xf numFmtId="170" fontId="8" fillId="7" borderId="106" xfId="128" applyNumberFormat="1" applyFont="1" applyFill="1" applyBorder="1" applyAlignment="1">
      <alignment horizontal="right" wrapText="1"/>
    </xf>
    <xf numFmtId="1" fontId="8" fillId="7" borderId="106" xfId="0" applyNumberFormat="1" applyFont="1" applyFill="1" applyBorder="1"/>
    <xf numFmtId="3" fontId="8" fillId="7" borderId="106" xfId="128" applyNumberFormat="1" applyFont="1" applyFill="1" applyBorder="1" applyAlignment="1">
      <alignment wrapText="1"/>
    </xf>
    <xf numFmtId="3" fontId="8" fillId="7" borderId="109" xfId="128" applyNumberFormat="1" applyFont="1" applyFill="1" applyBorder="1"/>
    <xf numFmtId="0" fontId="16" fillId="19" borderId="87" xfId="0" applyFont="1" applyFill="1" applyBorder="1"/>
    <xf numFmtId="0" fontId="15" fillId="19" borderId="106" xfId="0" applyFont="1" applyFill="1" applyBorder="1"/>
    <xf numFmtId="1" fontId="15" fillId="19" borderId="3" xfId="0" applyNumberFormat="1" applyFont="1" applyFill="1" applyBorder="1" applyAlignment="1">
      <alignment horizontal="right"/>
    </xf>
    <xf numFmtId="1" fontId="15" fillId="19" borderId="3" xfId="0" applyNumberFormat="1" applyFont="1" applyFill="1" applyBorder="1"/>
    <xf numFmtId="3" fontId="15" fillId="19" borderId="5" xfId="128" applyNumberFormat="1" applyFont="1" applyFill="1" applyBorder="1" applyAlignment="1">
      <alignment wrapText="1"/>
    </xf>
    <xf numFmtId="3" fontId="15" fillId="19" borderId="89" xfId="128" applyNumberFormat="1" applyFont="1" applyFill="1" applyBorder="1"/>
    <xf numFmtId="0" fontId="8" fillId="7" borderId="102" xfId="0" applyFont="1" applyFill="1" applyBorder="1" applyAlignment="1" applyProtection="1">
      <alignment wrapText="1"/>
      <protection locked="0"/>
    </xf>
    <xf numFmtId="1" fontId="8" fillId="7" borderId="10" xfId="0" applyNumberFormat="1" applyFont="1" applyFill="1" applyBorder="1" applyAlignment="1" applyProtection="1">
      <alignment vertical="center"/>
      <protection locked="0"/>
    </xf>
    <xf numFmtId="170" fontId="8" fillId="7" borderId="10" xfId="128" applyNumberFormat="1" applyFont="1" applyFill="1" applyBorder="1" applyAlignment="1" applyProtection="1">
      <alignment horizontal="right" vertical="center" wrapText="1"/>
      <protection locked="0"/>
    </xf>
    <xf numFmtId="170" fontId="8" fillId="7" borderId="10" xfId="128" applyNumberFormat="1" applyFont="1" applyFill="1" applyBorder="1" applyAlignment="1">
      <alignment horizontal="right" vertical="center" wrapText="1"/>
    </xf>
    <xf numFmtId="0" fontId="8" fillId="7" borderId="10" xfId="0" applyFont="1" applyFill="1" applyBorder="1" applyAlignment="1" applyProtection="1">
      <alignment vertical="center"/>
      <protection locked="0"/>
    </xf>
    <xf numFmtId="1" fontId="8" fillId="7" borderId="10" xfId="0" applyNumberFormat="1" applyFont="1" applyFill="1" applyBorder="1" applyAlignment="1">
      <alignment vertical="center"/>
    </xf>
    <xf numFmtId="3" fontId="8" fillId="7" borderId="7" xfId="128" applyNumberFormat="1" applyFont="1" applyFill="1" applyBorder="1" applyAlignment="1">
      <alignment vertical="center" wrapText="1"/>
    </xf>
    <xf numFmtId="0" fontId="10" fillId="7" borderId="0" xfId="0" applyFont="1" applyFill="1"/>
    <xf numFmtId="0" fontId="8" fillId="7" borderId="0" xfId="0" applyFont="1" applyFill="1"/>
    <xf numFmtId="171" fontId="8" fillId="7" borderId="0" xfId="131" applyFont="1" applyFill="1"/>
    <xf numFmtId="171" fontId="9" fillId="7" borderId="14" xfId="131" applyFont="1" applyFill="1" applyBorder="1" applyAlignment="1" applyProtection="1">
      <alignment horizontal="center" vertical="center" wrapText="1"/>
      <protection locked="0"/>
    </xf>
    <xf numFmtId="0" fontId="9" fillId="7" borderId="14" xfId="0" applyFont="1" applyFill="1" applyBorder="1" applyAlignment="1" applyProtection="1">
      <alignment horizontal="center" vertical="center" wrapText="1"/>
      <protection locked="0"/>
    </xf>
    <xf numFmtId="0" fontId="9" fillId="7" borderId="20" xfId="0" applyFont="1" applyFill="1" applyBorder="1" applyAlignment="1" applyProtection="1">
      <alignment horizontal="center" vertical="center" wrapText="1"/>
      <protection locked="0"/>
    </xf>
    <xf numFmtId="0" fontId="9" fillId="7" borderId="22" xfId="0" applyFont="1" applyFill="1" applyBorder="1" applyAlignment="1" applyProtection="1">
      <alignment horizontal="center" vertical="center"/>
      <protection locked="0"/>
    </xf>
    <xf numFmtId="0" fontId="9" fillId="7" borderId="23" xfId="0" applyFont="1" applyFill="1" applyBorder="1" applyAlignment="1" applyProtection="1">
      <alignment horizontal="center" vertical="center"/>
      <protection locked="0"/>
    </xf>
    <xf numFmtId="49" fontId="9" fillId="7" borderId="0" xfId="0" applyNumberFormat="1" applyFont="1" applyFill="1" applyAlignment="1">
      <alignment horizontal="center" vertical="center"/>
    </xf>
    <xf numFmtId="0" fontId="9" fillId="7" borderId="0" xfId="0" applyFont="1" applyFill="1"/>
    <xf numFmtId="171" fontId="9" fillId="7" borderId="0" xfId="131" applyFont="1" applyFill="1"/>
    <xf numFmtId="3" fontId="9" fillId="7" borderId="0" xfId="0" applyNumberFormat="1" applyFont="1" applyFill="1"/>
    <xf numFmtId="49" fontId="12" fillId="7" borderId="0" xfId="0" applyNumberFormat="1" applyFont="1" applyFill="1" applyAlignment="1">
      <alignment horizontal="center" vertical="center"/>
    </xf>
    <xf numFmtId="0" fontId="12" fillId="7" borderId="0" xfId="0" applyFont="1" applyFill="1"/>
    <xf numFmtId="171" fontId="12" fillId="7" borderId="0" xfId="131" applyFont="1" applyFill="1"/>
    <xf numFmtId="3" fontId="12" fillId="7" borderId="0" xfId="0" applyNumberFormat="1" applyFont="1" applyFill="1"/>
    <xf numFmtId="49" fontId="8" fillId="0" borderId="0" xfId="0" applyNumberFormat="1" applyFont="1" applyAlignment="1">
      <alignment horizontal="center" vertical="center"/>
    </xf>
    <xf numFmtId="171" fontId="8" fillId="0" borderId="0" xfId="131" applyFont="1"/>
    <xf numFmtId="3" fontId="8" fillId="7" borderId="0" xfId="0" applyNumberFormat="1" applyFont="1" applyFill="1"/>
    <xf numFmtId="0" fontId="0" fillId="7" borderId="0" xfId="0" applyFill="1"/>
    <xf numFmtId="1" fontId="10" fillId="7" borderId="1" xfId="0" applyNumberFormat="1" applyFont="1" applyFill="1" applyBorder="1" applyAlignment="1" applyProtection="1">
      <alignment horizontal="center" vertical="center"/>
      <protection locked="0"/>
    </xf>
    <xf numFmtId="0" fontId="12" fillId="7" borderId="0" xfId="132" applyFont="1" applyFill="1" applyProtection="1">
      <protection locked="0"/>
    </xf>
    <xf numFmtId="37" fontId="9" fillId="7" borderId="0" xfId="132" applyNumberFormat="1" applyFont="1" applyFill="1" applyProtection="1">
      <protection locked="0"/>
    </xf>
    <xf numFmtId="0" fontId="10" fillId="7" borderId="1" xfId="0" applyFont="1" applyFill="1" applyBorder="1" applyAlignment="1" applyProtection="1">
      <alignment horizontal="center"/>
      <protection locked="0"/>
    </xf>
    <xf numFmtId="3" fontId="9" fillId="7" borderId="64" xfId="132" applyNumberFormat="1" applyFont="1" applyFill="1" applyBorder="1" applyProtection="1">
      <protection locked="0"/>
    </xf>
    <xf numFmtId="3" fontId="12" fillId="7" borderId="0" xfId="132" applyNumberFormat="1" applyFont="1" applyFill="1" applyProtection="1">
      <protection locked="0"/>
    </xf>
    <xf numFmtId="3" fontId="12" fillId="7" borderId="64" xfId="132" applyNumberFormat="1" applyFont="1" applyFill="1" applyBorder="1" applyProtection="1">
      <protection locked="0"/>
    </xf>
    <xf numFmtId="3" fontId="12" fillId="7" borderId="183" xfId="132" applyNumberFormat="1" applyFont="1" applyFill="1" applyBorder="1" applyProtection="1">
      <protection locked="0"/>
    </xf>
    <xf numFmtId="3" fontId="12" fillId="7" borderId="184" xfId="132" applyNumberFormat="1" applyFont="1" applyFill="1" applyBorder="1" applyProtection="1">
      <protection locked="0"/>
    </xf>
    <xf numFmtId="3" fontId="0" fillId="7" borderId="0" xfId="0" applyNumberFormat="1" applyFill="1"/>
    <xf numFmtId="0" fontId="9" fillId="18" borderId="10" xfId="0" applyFont="1" applyFill="1" applyBorder="1" applyAlignment="1" applyProtection="1">
      <alignment horizontal="center" vertical="center"/>
      <protection locked="0"/>
    </xf>
    <xf numFmtId="0" fontId="9" fillId="18" borderId="106" xfId="0" applyFont="1" applyFill="1" applyBorder="1" applyAlignment="1" applyProtection="1">
      <alignment horizontal="center" vertical="center"/>
      <protection locked="0"/>
    </xf>
    <xf numFmtId="0" fontId="9" fillId="18" borderId="5" xfId="0" applyFont="1" applyFill="1" applyBorder="1" applyAlignment="1" applyProtection="1">
      <alignment horizontal="center" vertical="center"/>
      <protection locked="0"/>
    </xf>
    <xf numFmtId="0" fontId="9" fillId="18" borderId="3" xfId="0" applyFont="1" applyFill="1" applyBorder="1" applyAlignment="1" applyProtection="1">
      <alignment horizontal="center" vertical="center"/>
      <protection locked="0"/>
    </xf>
    <xf numFmtId="3" fontId="9" fillId="18" borderId="106" xfId="0" applyNumberFormat="1" applyFont="1" applyFill="1" applyBorder="1" applyAlignment="1" applyProtection="1">
      <alignment horizontal="center" vertical="center"/>
      <protection locked="0"/>
    </xf>
    <xf numFmtId="2" fontId="9" fillId="18" borderId="106" xfId="0" applyNumberFormat="1" applyFont="1" applyFill="1" applyBorder="1" applyAlignment="1" applyProtection="1">
      <alignment horizontal="center" vertical="center"/>
      <protection locked="0"/>
    </xf>
    <xf numFmtId="0" fontId="41" fillId="18" borderId="106" xfId="0" applyFont="1" applyFill="1" applyBorder="1" applyAlignment="1" applyProtection="1">
      <alignment horizontal="center" vertical="center"/>
      <protection locked="0"/>
    </xf>
    <xf numFmtId="0" fontId="9" fillId="21" borderId="106" xfId="0" applyFont="1" applyFill="1" applyBorder="1" applyAlignment="1" applyProtection="1">
      <alignment horizontal="center" vertical="center"/>
      <protection locked="0"/>
    </xf>
    <xf numFmtId="0" fontId="9" fillId="22" borderId="106" xfId="0" applyFont="1" applyFill="1" applyBorder="1" applyAlignment="1" applyProtection="1">
      <alignment horizontal="center" vertical="center"/>
      <protection locked="0"/>
    </xf>
    <xf numFmtId="0" fontId="41" fillId="20" borderId="106" xfId="0" applyFont="1" applyFill="1" applyBorder="1" applyAlignment="1" applyProtection="1">
      <alignment horizontal="center" vertical="center"/>
      <protection locked="0"/>
    </xf>
    <xf numFmtId="0" fontId="9" fillId="23" borderId="90" xfId="0" applyFont="1" applyFill="1" applyBorder="1" applyAlignment="1" applyProtection="1">
      <alignment horizontal="center" vertical="center"/>
      <protection locked="0"/>
    </xf>
    <xf numFmtId="0" fontId="9" fillId="21" borderId="90" xfId="0" applyFont="1" applyFill="1" applyBorder="1" applyAlignment="1" applyProtection="1">
      <alignment horizontal="center" vertical="center"/>
      <protection locked="0"/>
    </xf>
    <xf numFmtId="0" fontId="41" fillId="20" borderId="90" xfId="0" applyFont="1" applyFill="1" applyBorder="1" applyAlignment="1" applyProtection="1">
      <alignment horizontal="center" vertical="center"/>
      <protection locked="0"/>
    </xf>
    <xf numFmtId="0" fontId="41" fillId="18" borderId="3" xfId="0" applyFont="1" applyFill="1" applyBorder="1" applyAlignment="1" applyProtection="1">
      <alignment horizontal="center" vertical="center" wrapText="1"/>
      <protection locked="0"/>
    </xf>
    <xf numFmtId="49" fontId="9" fillId="19" borderId="98" xfId="0" applyNumberFormat="1" applyFont="1" applyFill="1" applyBorder="1" applyAlignment="1" applyProtection="1">
      <alignment horizontal="center" vertical="center"/>
      <protection locked="0"/>
    </xf>
    <xf numFmtId="49" fontId="11" fillId="19" borderId="98" xfId="4" applyNumberFormat="1" applyFont="1" applyFill="1" applyBorder="1" applyAlignment="1" applyProtection="1">
      <alignment horizontal="center" vertical="center" wrapText="1"/>
      <protection locked="0"/>
    </xf>
    <xf numFmtId="49" fontId="11" fillId="19" borderId="112" xfId="4" applyNumberFormat="1" applyFont="1" applyFill="1" applyBorder="1" applyAlignment="1" applyProtection="1">
      <alignment horizontal="center" vertical="center" wrapText="1"/>
      <protection locked="0"/>
    </xf>
    <xf numFmtId="49" fontId="11" fillId="19" borderId="186" xfId="128" applyNumberFormat="1" applyFont="1" applyFill="1" applyBorder="1" applyAlignment="1" applyProtection="1">
      <alignment horizontal="center" vertical="center" wrapText="1"/>
      <protection locked="0"/>
    </xf>
    <xf numFmtId="49" fontId="11" fillId="19" borderId="11" xfId="128" applyNumberFormat="1" applyFont="1" applyFill="1" applyBorder="1" applyAlignment="1" applyProtection="1">
      <alignment horizontal="center" vertical="center" wrapText="1"/>
      <protection locked="0"/>
    </xf>
    <xf numFmtId="49" fontId="11" fillId="19" borderId="112" xfId="128" applyNumberFormat="1" applyFont="1" applyFill="1" applyBorder="1" applyAlignment="1" applyProtection="1">
      <alignment horizontal="center" vertical="center" wrapText="1"/>
      <protection locked="0"/>
    </xf>
    <xf numFmtId="49" fontId="11" fillId="19" borderId="83" xfId="128" applyNumberFormat="1" applyFont="1" applyFill="1" applyBorder="1" applyAlignment="1" applyProtection="1">
      <alignment horizontal="center" vertical="center" wrapText="1"/>
      <protection locked="0"/>
    </xf>
    <xf numFmtId="49" fontId="11" fillId="19" borderId="98" xfId="128" applyNumberFormat="1" applyFont="1" applyFill="1" applyBorder="1" applyAlignment="1" applyProtection="1">
      <alignment horizontal="center" vertical="center" wrapText="1"/>
      <protection locked="0"/>
    </xf>
    <xf numFmtId="49" fontId="8" fillId="7" borderId="0" xfId="0" applyNumberFormat="1" applyFont="1" applyFill="1" applyAlignment="1">
      <alignment horizontal="center"/>
    </xf>
    <xf numFmtId="49" fontId="8" fillId="0" borderId="0" xfId="0" applyNumberFormat="1" applyFont="1" applyAlignment="1">
      <alignment horizontal="center"/>
    </xf>
    <xf numFmtId="0" fontId="9" fillId="5" borderId="98" xfId="0" applyFont="1" applyFill="1" applyBorder="1" applyAlignment="1" applyProtection="1">
      <alignment vertical="center"/>
      <protection locked="0"/>
    </xf>
    <xf numFmtId="0" fontId="9" fillId="5" borderId="98" xfId="0" applyFont="1" applyFill="1" applyBorder="1" applyProtection="1">
      <protection locked="0"/>
    </xf>
    <xf numFmtId="3" fontId="9" fillId="5" borderId="98" xfId="0" applyNumberFormat="1" applyFont="1" applyFill="1" applyBorder="1" applyAlignment="1" applyProtection="1">
      <alignment horizontal="center"/>
      <protection locked="0"/>
    </xf>
    <xf numFmtId="3" fontId="9" fillId="5" borderId="98" xfId="128" applyNumberFormat="1" applyFont="1" applyFill="1" applyBorder="1" applyProtection="1">
      <protection locked="0"/>
    </xf>
    <xf numFmtId="172" fontId="12" fillId="7" borderId="10" xfId="132" applyNumberFormat="1" applyFont="1" applyFill="1" applyBorder="1" applyProtection="1">
      <protection locked="0"/>
    </xf>
    <xf numFmtId="172" fontId="12" fillId="7" borderId="99" xfId="132" applyNumberFormat="1" applyFont="1" applyFill="1" applyBorder="1" applyAlignment="1" applyProtection="1">
      <alignment horizontal="center"/>
      <protection locked="0"/>
    </xf>
    <xf numFmtId="3" fontId="12" fillId="7" borderId="99" xfId="132" applyNumberFormat="1" applyFont="1" applyFill="1" applyBorder="1" applyAlignment="1" applyProtection="1">
      <alignment horizontal="center"/>
      <protection locked="0"/>
    </xf>
    <xf numFmtId="3" fontId="12" fillId="7" borderId="99" xfId="128" applyNumberFormat="1" applyFont="1" applyFill="1" applyBorder="1" applyProtection="1">
      <protection locked="0"/>
    </xf>
    <xf numFmtId="3" fontId="12" fillId="7" borderId="99" xfId="133" applyNumberFormat="1" applyFont="1" applyFill="1" applyBorder="1"/>
    <xf numFmtId="3" fontId="9" fillId="7" borderId="99" xfId="128" applyNumberFormat="1" applyFont="1" applyFill="1" applyBorder="1" applyProtection="1">
      <protection locked="0"/>
    </xf>
    <xf numFmtId="3" fontId="9" fillId="7" borderId="0" xfId="128" applyNumberFormat="1" applyFont="1" applyFill="1" applyBorder="1" applyProtection="1">
      <protection locked="0"/>
    </xf>
    <xf numFmtId="3" fontId="12" fillId="7" borderId="185" xfId="128" applyNumberFormat="1" applyFont="1" applyFill="1" applyBorder="1" applyProtection="1">
      <protection locked="0"/>
    </xf>
    <xf numFmtId="3" fontId="9" fillId="7" borderId="185" xfId="128" applyNumberFormat="1" applyFont="1" applyFill="1" applyBorder="1" applyProtection="1">
      <protection locked="0"/>
    </xf>
    <xf numFmtId="3" fontId="12" fillId="7" borderId="10" xfId="128" applyNumberFormat="1" applyFont="1" applyFill="1" applyBorder="1" applyProtection="1">
      <protection locked="0"/>
    </xf>
    <xf numFmtId="3" fontId="9" fillId="7" borderId="10" xfId="128" applyNumberFormat="1" applyFont="1" applyFill="1" applyBorder="1" applyProtection="1">
      <protection locked="0"/>
    </xf>
    <xf numFmtId="3" fontId="9" fillId="0" borderId="99" xfId="128" applyNumberFormat="1" applyFont="1" applyBorder="1" applyProtection="1">
      <protection locked="0"/>
    </xf>
    <xf numFmtId="3" fontId="12" fillId="0" borderId="99" xfId="133" applyNumberFormat="1" applyFont="1" applyBorder="1"/>
    <xf numFmtId="3" fontId="12" fillId="7" borderId="63" xfId="128" applyNumberFormat="1" applyFont="1" applyFill="1" applyBorder="1" applyProtection="1">
      <protection locked="0"/>
    </xf>
    <xf numFmtId="3" fontId="12" fillId="7" borderId="0" xfId="128" applyNumberFormat="1" applyFont="1" applyFill="1" applyBorder="1" applyProtection="1">
      <protection locked="0"/>
    </xf>
    <xf numFmtId="3" fontId="12" fillId="7" borderId="103" xfId="128" applyNumberFormat="1" applyFont="1" applyFill="1" applyBorder="1" applyProtection="1">
      <protection locked="0"/>
    </xf>
    <xf numFmtId="3" fontId="9" fillId="7" borderId="103" xfId="128" applyNumberFormat="1" applyFont="1" applyFill="1" applyBorder="1" applyProtection="1">
      <protection locked="0"/>
    </xf>
    <xf numFmtId="3" fontId="9" fillId="5" borderId="112" xfId="128" applyNumberFormat="1" applyFont="1" applyFill="1" applyBorder="1" applyProtection="1">
      <protection locked="0"/>
    </xf>
    <xf numFmtId="3" fontId="9" fillId="5" borderId="11" xfId="128" applyNumberFormat="1" applyFont="1" applyFill="1" applyBorder="1" applyProtection="1">
      <protection locked="0"/>
    </xf>
    <xf numFmtId="37" fontId="12" fillId="7" borderId="10" xfId="129" applyFont="1" applyFill="1" applyBorder="1" applyProtection="1">
      <protection locked="0"/>
    </xf>
    <xf numFmtId="3" fontId="12" fillId="7" borderId="108" xfId="128" applyNumberFormat="1" applyFont="1" applyFill="1" applyBorder="1" applyProtection="1">
      <protection locked="0"/>
    </xf>
    <xf numFmtId="3" fontId="9" fillId="7" borderId="0" xfId="128" applyNumberFormat="1" applyFont="1" applyFill="1" applyProtection="1">
      <protection locked="0"/>
    </xf>
    <xf numFmtId="3" fontId="9" fillId="0" borderId="99" xfId="128" applyNumberFormat="1" applyFont="1" applyFill="1" applyBorder="1" applyProtection="1">
      <protection locked="0"/>
    </xf>
    <xf numFmtId="3" fontId="9" fillId="5" borderId="98" xfId="0" applyNumberFormat="1" applyFont="1" applyFill="1" applyBorder="1" applyProtection="1">
      <protection locked="0"/>
    </xf>
    <xf numFmtId="3" fontId="9" fillId="5" borderId="97" xfId="128" applyNumberFormat="1" applyFont="1" applyFill="1" applyBorder="1" applyProtection="1">
      <protection locked="0"/>
    </xf>
    <xf numFmtId="172" fontId="12" fillId="7" borderId="99" xfId="132" applyNumberFormat="1" applyFont="1" applyFill="1" applyBorder="1" applyProtection="1">
      <protection locked="0"/>
    </xf>
    <xf numFmtId="3" fontId="12" fillId="7" borderId="99" xfId="132" applyNumberFormat="1" applyFont="1" applyFill="1" applyBorder="1" applyProtection="1">
      <protection locked="0"/>
    </xf>
    <xf numFmtId="3" fontId="12" fillId="7" borderId="0" xfId="128" applyNumberFormat="1" applyFont="1" applyFill="1" applyProtection="1">
      <protection locked="0"/>
    </xf>
    <xf numFmtId="37" fontId="12" fillId="7" borderId="10" xfId="129" applyFont="1" applyFill="1" applyBorder="1" applyAlignment="1" applyProtection="1">
      <alignment horizontal="left"/>
      <protection locked="0"/>
    </xf>
    <xf numFmtId="0" fontId="9" fillId="18" borderId="101" xfId="4" applyFont="1" applyFill="1" applyBorder="1" applyAlignment="1" applyProtection="1">
      <alignment vertical="center"/>
      <protection locked="0"/>
    </xf>
    <xf numFmtId="0" fontId="9" fillId="18" borderId="98" xfId="4" applyFont="1" applyFill="1" applyBorder="1" applyAlignment="1" applyProtection="1">
      <alignment vertical="center" wrapText="1"/>
      <protection locked="0"/>
    </xf>
    <xf numFmtId="3" fontId="9" fillId="18" borderId="112" xfId="4" applyNumberFormat="1" applyFont="1" applyFill="1" applyBorder="1" applyAlignment="1" applyProtection="1">
      <alignment horizontal="center" vertical="center" wrapText="1"/>
      <protection locked="0"/>
    </xf>
    <xf numFmtId="3" fontId="9" fillId="18" borderId="186" xfId="128" applyNumberFormat="1" applyFont="1" applyFill="1" applyBorder="1" applyAlignment="1" applyProtection="1">
      <alignment vertical="center" wrapText="1"/>
      <protection locked="0"/>
    </xf>
    <xf numFmtId="3" fontId="9" fillId="18" borderId="11" xfId="128" applyNumberFormat="1" applyFont="1" applyFill="1" applyBorder="1" applyAlignment="1" applyProtection="1">
      <alignment vertical="center" wrapText="1"/>
      <protection locked="0"/>
    </xf>
    <xf numFmtId="3" fontId="9" fillId="18" borderId="98" xfId="128" applyNumberFormat="1" applyFont="1" applyFill="1" applyBorder="1" applyAlignment="1" applyProtection="1">
      <alignment vertical="center" wrapText="1"/>
      <protection locked="0"/>
    </xf>
    <xf numFmtId="0" fontId="9" fillId="19" borderId="98" xfId="0" applyFont="1" applyFill="1" applyBorder="1" applyAlignment="1" applyProtection="1">
      <alignment vertical="center"/>
      <protection locked="0"/>
    </xf>
    <xf numFmtId="0" fontId="9" fillId="19" borderId="98" xfId="0" applyFont="1" applyFill="1" applyBorder="1" applyProtection="1">
      <protection locked="0"/>
    </xf>
    <xf numFmtId="3" fontId="9" fillId="19" borderId="98" xfId="0" applyNumberFormat="1" applyFont="1" applyFill="1" applyBorder="1" applyAlignment="1" applyProtection="1">
      <alignment horizontal="center"/>
      <protection locked="0"/>
    </xf>
    <xf numFmtId="3" fontId="9" fillId="19" borderId="98" xfId="128" applyNumberFormat="1" applyFont="1" applyFill="1" applyBorder="1" applyProtection="1">
      <protection locked="0"/>
    </xf>
    <xf numFmtId="3" fontId="9" fillId="19" borderId="112" xfId="128" applyNumberFormat="1" applyFont="1" applyFill="1" applyBorder="1" applyProtection="1">
      <protection locked="0"/>
    </xf>
    <xf numFmtId="3" fontId="9" fillId="19" borderId="11" xfId="128" applyNumberFormat="1" applyFont="1" applyFill="1" applyBorder="1" applyProtection="1">
      <protection locked="0"/>
    </xf>
    <xf numFmtId="172" fontId="12" fillId="7" borderId="10" xfId="129" applyNumberFormat="1" applyFont="1" applyFill="1" applyBorder="1" applyProtection="1">
      <protection locked="0"/>
    </xf>
    <xf numFmtId="3" fontId="12" fillId="7" borderId="83" xfId="128" applyNumberFormat="1" applyFont="1" applyFill="1" applyBorder="1" applyProtection="1">
      <protection locked="0"/>
    </xf>
    <xf numFmtId="0" fontId="9" fillId="18" borderId="98" xfId="4" applyFont="1" applyFill="1" applyBorder="1" applyAlignment="1" applyProtection="1">
      <alignment vertical="center"/>
      <protection locked="0"/>
    </xf>
    <xf numFmtId="3" fontId="9" fillId="18" borderId="112" xfId="4" applyNumberFormat="1" applyFont="1" applyFill="1" applyBorder="1" applyAlignment="1" applyProtection="1">
      <alignment horizontal="center" vertical="center"/>
      <protection locked="0"/>
    </xf>
    <xf numFmtId="3" fontId="9" fillId="18" borderId="186" xfId="128" applyNumberFormat="1" applyFont="1" applyFill="1" applyBorder="1" applyAlignment="1" applyProtection="1">
      <alignment vertical="center"/>
      <protection locked="0"/>
    </xf>
    <xf numFmtId="3" fontId="9" fillId="18" borderId="11" xfId="128" applyNumberFormat="1" applyFont="1" applyFill="1" applyBorder="1" applyAlignment="1" applyProtection="1">
      <alignment vertical="center"/>
      <protection locked="0"/>
    </xf>
    <xf numFmtId="3" fontId="9" fillId="18" borderId="98" xfId="128" applyNumberFormat="1" applyFont="1" applyFill="1" applyBorder="1" applyAlignment="1" applyProtection="1">
      <alignment vertical="center"/>
      <protection locked="0"/>
    </xf>
    <xf numFmtId="3" fontId="9" fillId="18" borderId="8" xfId="128" applyNumberFormat="1" applyFont="1" applyFill="1" applyBorder="1" applyAlignment="1" applyProtection="1">
      <alignment vertical="center"/>
      <protection locked="0"/>
    </xf>
    <xf numFmtId="173" fontId="9" fillId="0" borderId="0" xfId="132" applyNumberFormat="1" applyFont="1" applyAlignment="1" applyProtection="1">
      <alignment horizontal="right"/>
      <protection locked="0"/>
    </xf>
    <xf numFmtId="3" fontId="12" fillId="0" borderId="99" xfId="133" applyNumberFormat="1" applyFont="1" applyFill="1" applyBorder="1"/>
    <xf numFmtId="0" fontId="12" fillId="0" borderId="0" xfId="132" applyFont="1" applyFill="1" applyProtection="1">
      <protection locked="0"/>
    </xf>
    <xf numFmtId="0" fontId="9" fillId="0" borderId="0" xfId="132" applyFont="1" applyFill="1" applyAlignment="1" applyProtection="1">
      <alignment horizontal="right"/>
      <protection locked="0"/>
    </xf>
    <xf numFmtId="173" fontId="9" fillId="0" borderId="0" xfId="132" applyNumberFormat="1" applyFont="1" applyFill="1" applyAlignment="1" applyProtection="1">
      <alignment horizontal="right"/>
      <protection locked="0"/>
    </xf>
    <xf numFmtId="3" fontId="8" fillId="0" borderId="0" xfId="0" applyNumberFormat="1" applyFont="1" applyFill="1"/>
    <xf numFmtId="0" fontId="8" fillId="0" borderId="0" xfId="0" applyFont="1" applyFill="1"/>
    <xf numFmtId="37" fontId="12" fillId="0" borderId="0" xfId="129" applyFont="1" applyFill="1" applyProtection="1">
      <protection locked="0"/>
    </xf>
    <xf numFmtId="172" fontId="12" fillId="0" borderId="0" xfId="132" applyNumberFormat="1" applyFont="1" applyFill="1" applyProtection="1">
      <protection locked="0"/>
    </xf>
    <xf numFmtId="37" fontId="12" fillId="0" borderId="0" xfId="132" applyNumberFormat="1" applyFont="1" applyFill="1" applyProtection="1">
      <protection locked="0"/>
    </xf>
    <xf numFmtId="1" fontId="10" fillId="7" borderId="1" xfId="0" applyNumberFormat="1" applyFont="1" applyFill="1" applyBorder="1" applyAlignment="1" applyProtection="1">
      <alignment horizontal="center"/>
      <protection locked="0"/>
    </xf>
    <xf numFmtId="0" fontId="10" fillId="7" borderId="13" xfId="0" applyFont="1" applyFill="1" applyBorder="1" applyAlignment="1" applyProtection="1">
      <alignment horizontal="center" vertical="center"/>
      <protection locked="0"/>
    </xf>
    <xf numFmtId="0" fontId="9" fillId="18" borderId="83" xfId="0" applyFont="1" applyFill="1" applyBorder="1" applyAlignment="1" applyProtection="1">
      <alignment horizontal="center" vertical="center" wrapText="1"/>
      <protection locked="0"/>
    </xf>
    <xf numFmtId="0" fontId="9" fillId="18" borderId="183" xfId="0" applyFont="1" applyFill="1" applyBorder="1" applyAlignment="1" applyProtection="1">
      <alignment horizontal="center" vertical="center" wrapText="1"/>
      <protection locked="0"/>
    </xf>
    <xf numFmtId="0" fontId="9" fillId="18" borderId="103" xfId="0" applyFont="1" applyFill="1" applyBorder="1" applyAlignment="1" applyProtection="1">
      <alignment horizontal="center" vertical="center" wrapText="1"/>
      <protection locked="0"/>
    </xf>
    <xf numFmtId="0" fontId="9" fillId="18" borderId="112" xfId="4" applyFont="1" applyFill="1" applyBorder="1" applyAlignment="1" applyProtection="1">
      <alignment vertical="center" wrapText="1"/>
      <protection locked="0"/>
    </xf>
    <xf numFmtId="0" fontId="11" fillId="18" borderId="11" xfId="4" applyFont="1" applyFill="1" applyBorder="1" applyAlignment="1" applyProtection="1">
      <alignment vertical="center" wrapText="1"/>
      <protection locked="0"/>
    </xf>
    <xf numFmtId="0" fontId="11" fillId="18" borderId="112" xfId="4" applyFont="1" applyFill="1" applyBorder="1" applyAlignment="1" applyProtection="1">
      <alignment vertical="center" wrapText="1"/>
      <protection locked="0"/>
    </xf>
    <xf numFmtId="0" fontId="11" fillId="18" borderId="186" xfId="4" applyFont="1" applyFill="1" applyBorder="1" applyAlignment="1" applyProtection="1">
      <alignment vertical="center" wrapText="1"/>
      <protection locked="0"/>
    </xf>
    <xf numFmtId="0" fontId="9" fillId="0" borderId="7" xfId="0" applyFont="1" applyBorder="1"/>
    <xf numFmtId="0" fontId="9" fillId="0" borderId="187" xfId="0" applyFont="1" applyBorder="1" applyAlignment="1">
      <alignment horizontal="center"/>
    </xf>
    <xf numFmtId="0" fontId="8" fillId="0" borderId="10" xfId="0" applyFont="1" applyBorder="1"/>
    <xf numFmtId="0" fontId="8" fillId="0" borderId="99" xfId="0" applyFont="1" applyBorder="1" applyAlignment="1">
      <alignment horizontal="center"/>
    </xf>
    <xf numFmtId="0" fontId="9" fillId="0" borderId="10" xfId="0" applyFont="1" applyBorder="1"/>
    <xf numFmtId="0" fontId="9" fillId="0" borderId="99" xfId="0" applyFont="1" applyBorder="1" applyAlignment="1">
      <alignment horizontal="center"/>
    </xf>
    <xf numFmtId="0" fontId="9" fillId="18" borderId="11" xfId="4" applyFont="1" applyFill="1" applyBorder="1" applyAlignment="1" applyProtection="1">
      <alignment vertical="center" wrapText="1"/>
      <protection locked="0"/>
    </xf>
    <xf numFmtId="37" fontId="9" fillId="18" borderId="112" xfId="4" applyNumberFormat="1" applyFont="1" applyFill="1" applyBorder="1" applyAlignment="1" applyProtection="1">
      <alignment vertical="center" wrapText="1"/>
      <protection locked="0"/>
    </xf>
    <xf numFmtId="37" fontId="9" fillId="18" borderId="98" xfId="4" applyNumberFormat="1" applyFont="1" applyFill="1" applyBorder="1" applyAlignment="1" applyProtection="1">
      <alignment vertical="center" wrapText="1"/>
      <protection locked="0"/>
    </xf>
    <xf numFmtId="0" fontId="9" fillId="4" borderId="11" xfId="4" applyFont="1" applyFill="1" applyBorder="1" applyAlignment="1" applyProtection="1">
      <alignment vertical="center" wrapText="1"/>
      <protection locked="0"/>
    </xf>
    <xf numFmtId="0" fontId="11" fillId="4" borderId="11" xfId="4" applyFont="1" applyFill="1" applyBorder="1" applyAlignment="1" applyProtection="1">
      <alignment vertical="center" wrapText="1"/>
      <protection locked="0"/>
    </xf>
    <xf numFmtId="0" fontId="11" fillId="4" borderId="112" xfId="4" applyFont="1" applyFill="1" applyBorder="1" applyAlignment="1" applyProtection="1">
      <alignment vertical="center" wrapText="1"/>
      <protection locked="0"/>
    </xf>
    <xf numFmtId="0" fontId="11" fillId="4" borderId="186" xfId="4" applyFont="1" applyFill="1" applyBorder="1" applyAlignment="1" applyProtection="1">
      <alignment vertical="center" wrapText="1"/>
      <protection locked="0"/>
    </xf>
    <xf numFmtId="37" fontId="9" fillId="18" borderId="186" xfId="4" applyNumberFormat="1" applyFont="1" applyFill="1" applyBorder="1" applyAlignment="1" applyProtection="1">
      <alignment vertical="center" wrapText="1"/>
      <protection locked="0"/>
    </xf>
    <xf numFmtId="37" fontId="9" fillId="18" borderId="11" xfId="4" applyNumberFormat="1" applyFont="1" applyFill="1" applyBorder="1" applyAlignment="1" applyProtection="1">
      <alignment vertical="center" wrapText="1"/>
      <protection locked="0"/>
    </xf>
    <xf numFmtId="0" fontId="9" fillId="18" borderId="186" xfId="4" applyFont="1" applyFill="1" applyBorder="1" applyAlignment="1" applyProtection="1">
      <alignment vertical="center" wrapText="1"/>
      <protection locked="0"/>
    </xf>
    <xf numFmtId="37" fontId="9" fillId="7" borderId="0" xfId="129" applyFont="1" applyFill="1" applyAlignment="1" applyProtection="1">
      <alignment horizontal="center"/>
      <protection locked="0"/>
    </xf>
    <xf numFmtId="37" fontId="9" fillId="7" borderId="0" xfId="129" applyFont="1" applyFill="1" applyAlignment="1" applyProtection="1">
      <alignment horizontal="centerContinuous"/>
      <protection locked="0"/>
    </xf>
    <xf numFmtId="37" fontId="12" fillId="7" borderId="0" xfId="129" applyFont="1" applyFill="1" applyAlignment="1" applyProtection="1">
      <alignment horizontal="centerContinuous"/>
      <protection locked="0"/>
    </xf>
    <xf numFmtId="37" fontId="9" fillId="7" borderId="0" xfId="129" applyFont="1" applyFill="1" applyProtection="1">
      <protection locked="0"/>
    </xf>
    <xf numFmtId="37" fontId="12" fillId="7" borderId="0" xfId="129" applyFont="1" applyFill="1" applyProtection="1">
      <protection locked="0"/>
    </xf>
    <xf numFmtId="37" fontId="9" fillId="0" borderId="99" xfId="129" applyFont="1" applyBorder="1" applyProtection="1">
      <protection locked="0"/>
    </xf>
    <xf numFmtId="37" fontId="9" fillId="0" borderId="102" xfId="129" applyFont="1" applyBorder="1" applyProtection="1">
      <protection locked="0"/>
    </xf>
    <xf numFmtId="37" fontId="12" fillId="0" borderId="99" xfId="129" applyFont="1" applyBorder="1" applyProtection="1">
      <protection locked="0"/>
    </xf>
    <xf numFmtId="37" fontId="12" fillId="0" borderId="83" xfId="129" applyFont="1" applyBorder="1" applyProtection="1">
      <protection locked="0"/>
    </xf>
    <xf numFmtId="37" fontId="12" fillId="0" borderId="10" xfId="129" applyFont="1" applyBorder="1" applyProtection="1">
      <protection locked="0"/>
    </xf>
    <xf numFmtId="37" fontId="9" fillId="7" borderId="64" xfId="129" applyFont="1" applyFill="1" applyBorder="1" applyProtection="1">
      <protection locked="0"/>
    </xf>
    <xf numFmtId="0" fontId="11" fillId="9" borderId="48"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0" fontId="10" fillId="7" borderId="6" xfId="0" applyFont="1" applyFill="1" applyBorder="1" applyAlignment="1">
      <alignment horizontal="center" vertical="center"/>
    </xf>
    <xf numFmtId="0" fontId="10" fillId="7" borderId="26" xfId="0" applyFont="1" applyFill="1" applyBorder="1" applyAlignment="1">
      <alignment horizontal="center" vertical="center"/>
    </xf>
    <xf numFmtId="0" fontId="10" fillId="7" borderId="13" xfId="0" applyFont="1" applyFill="1" applyBorder="1" applyAlignment="1">
      <alignment horizontal="center" vertical="center"/>
    </xf>
    <xf numFmtId="0" fontId="11" fillId="9" borderId="48" xfId="0" applyFont="1" applyFill="1" applyBorder="1" applyAlignment="1" applyProtection="1">
      <alignment horizontal="center" vertical="center" wrapText="1"/>
      <protection locked="0"/>
    </xf>
    <xf numFmtId="0" fontId="11" fillId="9" borderId="54" xfId="0" applyFont="1" applyFill="1" applyBorder="1" applyAlignment="1" applyProtection="1">
      <alignment horizontal="center" vertical="center" wrapText="1"/>
      <protection locked="0"/>
    </xf>
    <xf numFmtId="0" fontId="11" fillId="9" borderId="52" xfId="0" applyFont="1" applyFill="1" applyBorder="1" applyAlignment="1" applyProtection="1">
      <alignment horizontal="center" vertical="center" wrapText="1"/>
      <protection locked="0"/>
    </xf>
    <xf numFmtId="0" fontId="10" fillId="7" borderId="0" xfId="0" applyFont="1" applyFill="1" applyAlignment="1">
      <alignment horizontal="center"/>
    </xf>
    <xf numFmtId="0" fontId="8" fillId="7" borderId="1" xfId="0" applyFont="1" applyFill="1" applyBorder="1" applyAlignment="1">
      <alignment horizontal="center" vertical="center"/>
    </xf>
    <xf numFmtId="0" fontId="8" fillId="7" borderId="1" xfId="0" applyFont="1" applyFill="1" applyBorder="1" applyAlignment="1" applyProtection="1">
      <alignment horizontal="center" vertical="center"/>
      <protection locked="0"/>
    </xf>
    <xf numFmtId="0" fontId="11" fillId="6" borderId="78" xfId="4" applyFont="1" applyFill="1" applyBorder="1" applyAlignment="1">
      <alignment horizontal="center" vertical="center" wrapText="1"/>
    </xf>
    <xf numFmtId="0" fontId="11" fillId="6" borderId="79" xfId="4" applyFont="1" applyFill="1" applyBorder="1" applyAlignment="1">
      <alignment horizontal="center" vertical="center" wrapText="1"/>
    </xf>
    <xf numFmtId="0" fontId="11" fillId="6" borderId="80" xfId="4" applyFont="1" applyFill="1" applyBorder="1" applyAlignment="1">
      <alignment horizontal="center" vertical="center" wrapText="1"/>
    </xf>
    <xf numFmtId="0" fontId="10" fillId="7" borderId="1" xfId="0" applyFont="1" applyFill="1" applyBorder="1" applyAlignment="1">
      <alignment horizontal="center" vertical="center" wrapText="1"/>
    </xf>
    <xf numFmtId="1" fontId="10" fillId="0" borderId="6" xfId="0" applyNumberFormat="1" applyFont="1" applyBorder="1" applyAlignment="1">
      <alignment horizontal="center"/>
    </xf>
    <xf numFmtId="1" fontId="10" fillId="0" borderId="26" xfId="0" applyNumberFormat="1" applyFont="1" applyBorder="1" applyAlignment="1">
      <alignment horizontal="center"/>
    </xf>
    <xf numFmtId="1" fontId="10" fillId="0" borderId="13" xfId="0" applyNumberFormat="1" applyFont="1" applyBorder="1" applyAlignment="1">
      <alignment horizontal="center"/>
    </xf>
    <xf numFmtId="1" fontId="28" fillId="0" borderId="6" xfId="0" applyNumberFormat="1" applyFont="1" applyBorder="1" applyAlignment="1">
      <alignment horizontal="center" vertical="center"/>
    </xf>
    <xf numFmtId="1" fontId="28" fillId="0" borderId="26" xfId="0" applyNumberFormat="1" applyFont="1" applyBorder="1" applyAlignment="1">
      <alignment horizontal="center" vertical="center"/>
    </xf>
    <xf numFmtId="1" fontId="28" fillId="0" borderId="13" xfId="0" applyNumberFormat="1" applyFont="1" applyBorder="1" applyAlignment="1">
      <alignment horizontal="center" vertical="center"/>
    </xf>
    <xf numFmtId="0" fontId="10" fillId="7" borderId="6"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1" fillId="9" borderId="67" xfId="0" applyFont="1" applyFill="1" applyBorder="1" applyAlignment="1" applyProtection="1">
      <alignment horizontal="center" vertical="center"/>
      <protection locked="0"/>
    </xf>
    <xf numFmtId="0" fontId="11" fillId="9" borderId="56" xfId="0" applyFont="1" applyFill="1" applyBorder="1" applyAlignment="1" applyProtection="1">
      <alignment horizontal="center" vertical="center"/>
      <protection locked="0"/>
    </xf>
    <xf numFmtId="0" fontId="11" fillId="9" borderId="5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26" xfId="0" applyFont="1" applyFill="1" applyBorder="1" applyAlignment="1" applyProtection="1">
      <alignment horizontal="center" vertical="center"/>
      <protection locked="0"/>
    </xf>
    <xf numFmtId="0" fontId="8" fillId="7" borderId="13" xfId="0" applyFont="1" applyFill="1" applyBorder="1" applyAlignment="1" applyProtection="1">
      <alignment horizontal="center" vertical="center"/>
      <protection locked="0"/>
    </xf>
    <xf numFmtId="0" fontId="9" fillId="18" borderId="94" xfId="0" applyFont="1" applyFill="1" applyBorder="1" applyAlignment="1" applyProtection="1">
      <alignment horizontal="center" vertical="center"/>
      <protection locked="0"/>
    </xf>
    <xf numFmtId="0" fontId="9" fillId="18" borderId="95" xfId="0" applyFont="1" applyFill="1" applyBorder="1" applyAlignment="1" applyProtection="1">
      <alignment horizontal="center" vertical="center"/>
      <protection locked="0"/>
    </xf>
    <xf numFmtId="0" fontId="9" fillId="18" borderId="7" xfId="0" applyFont="1" applyFill="1" applyBorder="1" applyAlignment="1" applyProtection="1">
      <alignment horizontal="center" vertical="center" wrapText="1"/>
      <protection locked="0"/>
    </xf>
    <xf numFmtId="0" fontId="9" fillId="18" borderId="10" xfId="0" applyFont="1" applyFill="1" applyBorder="1" applyAlignment="1" applyProtection="1">
      <alignment horizontal="center" vertical="center" wrapText="1"/>
      <protection locked="0"/>
    </xf>
    <xf numFmtId="0" fontId="9" fillId="18" borderId="85" xfId="0" applyFont="1" applyFill="1" applyBorder="1" applyAlignment="1" applyProtection="1">
      <alignment horizontal="center" vertical="center"/>
      <protection locked="0"/>
    </xf>
    <xf numFmtId="0" fontId="9" fillId="18" borderId="86" xfId="0" applyFont="1" applyFill="1" applyBorder="1" applyAlignment="1" applyProtection="1">
      <alignment horizontal="center" vertical="center"/>
      <protection locked="0"/>
    </xf>
    <xf numFmtId="0" fontId="9" fillId="18" borderId="87" xfId="0" applyFont="1" applyFill="1" applyBorder="1" applyAlignment="1" applyProtection="1">
      <alignment horizontal="center" vertical="center"/>
      <protection locked="0"/>
    </xf>
    <xf numFmtId="0" fontId="9" fillId="18" borderId="88" xfId="0" applyFont="1" applyFill="1" applyBorder="1" applyAlignment="1" applyProtection="1">
      <alignment horizontal="center" vertical="center"/>
      <protection locked="0"/>
    </xf>
    <xf numFmtId="0" fontId="9" fillId="18" borderId="2" xfId="0" applyFont="1" applyFill="1" applyBorder="1" applyAlignment="1" applyProtection="1">
      <alignment horizontal="center" wrapText="1"/>
      <protection locked="0"/>
    </xf>
    <xf numFmtId="0" fontId="9" fillId="18" borderId="10" xfId="0" applyFont="1" applyFill="1" applyBorder="1" applyAlignment="1" applyProtection="1">
      <alignment horizontal="center" wrapText="1"/>
      <protection locked="0"/>
    </xf>
    <xf numFmtId="0" fontId="9" fillId="18" borderId="6" xfId="0" applyFont="1" applyFill="1" applyBorder="1" applyAlignment="1" applyProtection="1">
      <alignment horizontal="center" vertical="center"/>
      <protection locked="0"/>
    </xf>
    <xf numFmtId="0" fontId="9" fillId="18" borderId="13" xfId="0" applyFont="1" applyFill="1" applyBorder="1" applyAlignment="1" applyProtection="1">
      <alignment horizontal="center" vertical="center"/>
      <protection locked="0"/>
    </xf>
    <xf numFmtId="0" fontId="9" fillId="18" borderId="6" xfId="0" applyFont="1" applyFill="1" applyBorder="1" applyAlignment="1" applyProtection="1">
      <alignment horizontal="left" vertical="center"/>
      <protection locked="0"/>
    </xf>
    <xf numFmtId="0" fontId="9" fillId="18" borderId="13" xfId="0" applyFont="1" applyFill="1" applyBorder="1" applyAlignment="1" applyProtection="1">
      <alignment horizontal="left" vertical="center"/>
      <protection locked="0"/>
    </xf>
    <xf numFmtId="0" fontId="10" fillId="7" borderId="2" xfId="0" applyFont="1" applyFill="1" applyBorder="1" applyAlignment="1" applyProtection="1">
      <alignment horizontal="center" vertical="center"/>
      <protection locked="0"/>
    </xf>
    <xf numFmtId="0" fontId="10" fillId="7" borderId="3" xfId="0" applyFont="1" applyFill="1" applyBorder="1" applyAlignment="1" applyProtection="1">
      <alignment horizontal="center" vertical="center" wrapText="1"/>
      <protection locked="0"/>
    </xf>
    <xf numFmtId="0" fontId="10" fillId="7" borderId="1" xfId="0" applyFont="1" applyFill="1" applyBorder="1" applyAlignment="1">
      <alignment horizontal="left" vertical="center"/>
    </xf>
    <xf numFmtId="49" fontId="9" fillId="7" borderId="31" xfId="0" applyNumberFormat="1" applyFont="1" applyFill="1" applyBorder="1" applyAlignment="1" applyProtection="1">
      <alignment horizontal="center" vertical="center" wrapText="1"/>
      <protection locked="0"/>
    </xf>
    <xf numFmtId="49" fontId="9" fillId="7" borderId="32" xfId="0" applyNumberFormat="1" applyFont="1" applyFill="1" applyBorder="1" applyAlignment="1" applyProtection="1">
      <alignment horizontal="center" vertical="center" wrapText="1"/>
      <protection locked="0"/>
    </xf>
    <xf numFmtId="49" fontId="9" fillId="7" borderId="33" xfId="0" applyNumberFormat="1" applyFont="1" applyFill="1" applyBorder="1" applyAlignment="1" applyProtection="1">
      <alignment horizontal="center" vertical="center" wrapText="1"/>
      <protection locked="0"/>
    </xf>
    <xf numFmtId="49" fontId="9" fillId="7" borderId="15" xfId="0" applyNumberFormat="1" applyFont="1" applyFill="1" applyBorder="1" applyAlignment="1" applyProtection="1">
      <alignment horizontal="center" vertical="center"/>
      <protection locked="0"/>
    </xf>
    <xf numFmtId="49" fontId="9" fillId="7" borderId="29" xfId="0" applyNumberFormat="1" applyFont="1" applyFill="1" applyBorder="1" applyAlignment="1" applyProtection="1">
      <alignment horizontal="center" vertical="center"/>
      <protection locked="0"/>
    </xf>
    <xf numFmtId="49" fontId="9" fillId="7" borderId="15" xfId="0" applyNumberFormat="1" applyFont="1" applyFill="1" applyBorder="1" applyAlignment="1" applyProtection="1">
      <alignment horizontal="center" vertical="center" wrapText="1"/>
      <protection locked="0"/>
    </xf>
    <xf numFmtId="49" fontId="9" fillId="7" borderId="29" xfId="0" applyNumberFormat="1" applyFont="1" applyFill="1" applyBorder="1" applyAlignment="1" applyProtection="1">
      <alignment horizontal="center" vertical="center" wrapText="1"/>
      <protection locked="0"/>
    </xf>
    <xf numFmtId="49" fontId="9" fillId="7" borderId="30" xfId="0" applyNumberFormat="1" applyFont="1" applyFill="1" applyBorder="1" applyAlignment="1" applyProtection="1">
      <alignment horizontal="center" vertical="center"/>
      <protection locked="0"/>
    </xf>
    <xf numFmtId="49" fontId="9" fillId="7" borderId="27" xfId="0" applyNumberFormat="1" applyFont="1" applyFill="1" applyBorder="1" applyAlignment="1" applyProtection="1">
      <alignment horizontal="center" vertical="center"/>
      <protection locked="0"/>
    </xf>
    <xf numFmtId="0" fontId="9" fillId="7" borderId="51"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center" wrapText="1"/>
      <protection locked="0"/>
    </xf>
    <xf numFmtId="0" fontId="9" fillId="7" borderId="29" xfId="0" applyFont="1" applyFill="1" applyBorder="1" applyAlignment="1" applyProtection="1">
      <alignment horizontal="center" vertical="center" wrapText="1"/>
      <protection locked="0"/>
    </xf>
    <xf numFmtId="0" fontId="9" fillId="7" borderId="30" xfId="0" applyFont="1" applyFill="1" applyBorder="1" applyAlignment="1" applyProtection="1">
      <alignment horizontal="center" vertical="center"/>
      <protection locked="0"/>
    </xf>
    <xf numFmtId="0" fontId="9" fillId="7" borderId="27" xfId="0" applyFont="1" applyFill="1" applyBorder="1" applyAlignment="1" applyProtection="1">
      <alignment horizontal="center" vertical="center"/>
      <protection locked="0"/>
    </xf>
    <xf numFmtId="0" fontId="9" fillId="7" borderId="24" xfId="0" applyFont="1" applyFill="1" applyBorder="1" applyAlignment="1" applyProtection="1">
      <alignment horizontal="center" vertical="center"/>
      <protection locked="0"/>
    </xf>
    <xf numFmtId="0" fontId="9" fillId="7" borderId="21" xfId="0" applyFont="1" applyFill="1" applyBorder="1" applyAlignment="1" applyProtection="1">
      <alignment horizontal="center" vertical="center"/>
      <protection locked="0"/>
    </xf>
    <xf numFmtId="0" fontId="9" fillId="7" borderId="30"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9" fillId="7" borderId="19" xfId="0" applyFont="1" applyFill="1" applyBorder="1" applyAlignment="1" applyProtection="1">
      <alignment horizontal="center" vertical="center" wrapText="1"/>
      <protection locked="0"/>
    </xf>
    <xf numFmtId="0" fontId="17" fillId="0" borderId="25" xfId="0" applyFont="1" applyBorder="1" applyAlignment="1">
      <alignment horizontal="left" vertical="center" wrapText="1"/>
    </xf>
    <xf numFmtId="0" fontId="17" fillId="0" borderId="0" xfId="0" applyFont="1" applyAlignment="1">
      <alignment horizontal="left" vertical="center" wrapText="1"/>
    </xf>
    <xf numFmtId="0" fontId="17" fillId="0" borderId="99" xfId="0"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Alignment="1">
      <alignment horizontal="left" vertical="center" wrapText="1"/>
    </xf>
    <xf numFmtId="0" fontId="17" fillId="0" borderId="174" xfId="0" applyFont="1" applyBorder="1" applyAlignment="1">
      <alignment horizontal="left" vertical="center" wrapText="1"/>
    </xf>
    <xf numFmtId="0" fontId="17" fillId="0" borderId="64" xfId="0" applyFont="1" applyBorder="1" applyAlignment="1">
      <alignment horizontal="left" vertical="center" wrapText="1"/>
    </xf>
    <xf numFmtId="0" fontId="17" fillId="0" borderId="106" xfId="0" applyFont="1" applyBorder="1" applyAlignment="1">
      <alignment horizontal="left" vertical="center" wrapText="1"/>
    </xf>
    <xf numFmtId="0" fontId="17" fillId="0" borderId="63" xfId="0" applyFont="1" applyBorder="1" applyAlignment="1">
      <alignment horizontal="left" vertical="center" wrapText="1"/>
    </xf>
    <xf numFmtId="0" fontId="17" fillId="0" borderId="77" xfId="0" applyFont="1" applyBorder="1" applyAlignment="1">
      <alignment horizontal="left" vertical="center" wrapText="1"/>
    </xf>
    <xf numFmtId="0" fontId="17" fillId="7" borderId="25" xfId="0" applyFont="1" applyFill="1" applyBorder="1" applyAlignment="1">
      <alignment horizontal="left" vertical="center" wrapText="1"/>
    </xf>
    <xf numFmtId="0" fontId="17" fillId="7" borderId="0" xfId="0" applyFont="1" applyFill="1" applyAlignment="1">
      <alignment horizontal="left" vertical="center" wrapText="1"/>
    </xf>
    <xf numFmtId="0" fontId="17" fillId="7" borderId="99" xfId="0" applyFont="1" applyFill="1" applyBorder="1" applyAlignment="1">
      <alignment horizontal="left" vertical="center" wrapText="1"/>
    </xf>
    <xf numFmtId="164" fontId="17" fillId="6" borderId="141" xfId="128" applyFont="1" applyFill="1" applyBorder="1" applyAlignment="1">
      <alignment horizontal="center" vertical="center"/>
    </xf>
    <xf numFmtId="164" fontId="17" fillId="6" borderId="142" xfId="128" applyFont="1" applyFill="1" applyBorder="1" applyAlignment="1">
      <alignment horizontal="center" vertical="center"/>
    </xf>
    <xf numFmtId="164" fontId="17" fillId="6" borderId="147" xfId="128" applyFont="1" applyFill="1" applyBorder="1" applyAlignment="1">
      <alignment horizontal="center" vertical="center"/>
    </xf>
    <xf numFmtId="164" fontId="17" fillId="6" borderId="148" xfId="128" applyFont="1" applyFill="1" applyBorder="1" applyAlignment="1">
      <alignment horizontal="center" vertical="center"/>
    </xf>
    <xf numFmtId="164" fontId="17" fillId="6" borderId="124" xfId="128" applyFont="1" applyFill="1" applyBorder="1" applyAlignment="1">
      <alignment horizontal="center" vertical="center"/>
    </xf>
    <xf numFmtId="164" fontId="17" fillId="6" borderId="93" xfId="128" applyFont="1" applyFill="1" applyBorder="1" applyAlignment="1">
      <alignment horizontal="center" vertical="center"/>
    </xf>
    <xf numFmtId="164" fontId="35" fillId="6" borderId="130" xfId="128" applyFont="1" applyFill="1" applyBorder="1" applyAlignment="1">
      <alignment horizontal="center" vertical="center"/>
    </xf>
    <xf numFmtId="164" fontId="35" fillId="6" borderId="132" xfId="128" applyFont="1" applyFill="1" applyBorder="1" applyAlignment="1">
      <alignment horizontal="center" vertical="center"/>
    </xf>
    <xf numFmtId="164" fontId="17" fillId="5" borderId="124" xfId="128" applyFont="1" applyFill="1" applyBorder="1" applyAlignment="1">
      <alignment horizontal="center" vertical="center"/>
    </xf>
    <xf numFmtId="164" fontId="17" fillId="5" borderId="93" xfId="128" applyFont="1" applyFill="1" applyBorder="1" applyAlignment="1">
      <alignment horizontal="center" vertical="center"/>
    </xf>
    <xf numFmtId="164" fontId="17" fillId="6" borderId="152" xfId="128" applyFont="1" applyFill="1" applyBorder="1" applyAlignment="1">
      <alignment horizontal="center" vertical="center"/>
    </xf>
    <xf numFmtId="164" fontId="17" fillId="6" borderId="153" xfId="128" applyFont="1" applyFill="1" applyBorder="1" applyAlignment="1">
      <alignment horizontal="center" vertical="center"/>
    </xf>
    <xf numFmtId="164" fontId="17" fillId="7" borderId="152" xfId="128" applyFont="1" applyFill="1" applyBorder="1" applyAlignment="1" applyProtection="1">
      <alignment horizontal="center" vertical="center"/>
      <protection locked="0"/>
    </xf>
    <xf numFmtId="164" fontId="17" fillId="7" borderId="153" xfId="128" applyFont="1" applyFill="1" applyBorder="1" applyAlignment="1" applyProtection="1">
      <alignment horizontal="center" vertical="center"/>
      <protection locked="0"/>
    </xf>
    <xf numFmtId="164" fontId="17" fillId="7" borderId="124" xfId="128" applyFont="1" applyFill="1" applyBorder="1" applyAlignment="1" applyProtection="1">
      <alignment horizontal="center" vertical="center"/>
      <protection locked="0"/>
    </xf>
    <xf numFmtId="164" fontId="17" fillId="7" borderId="93" xfId="128" applyFont="1" applyFill="1" applyBorder="1" applyAlignment="1" applyProtection="1">
      <alignment horizontal="center" vertical="center"/>
      <protection locked="0"/>
    </xf>
    <xf numFmtId="1" fontId="17" fillId="0" borderId="118" xfId="0" applyNumberFormat="1" applyFont="1" applyBorder="1" applyAlignment="1">
      <alignment horizontal="center" vertical="center"/>
    </xf>
    <xf numFmtId="1" fontId="17" fillId="0" borderId="165" xfId="0" applyNumberFormat="1" applyFont="1" applyBorder="1" applyAlignment="1">
      <alignment horizontal="center" vertical="center"/>
    </xf>
    <xf numFmtId="0" fontId="17" fillId="0" borderId="164" xfId="0" applyFont="1" applyBorder="1" applyAlignment="1">
      <alignment horizontal="left" vertical="center"/>
    </xf>
    <xf numFmtId="0" fontId="17" fillId="0" borderId="166" xfId="0" applyFont="1" applyBorder="1" applyAlignment="1">
      <alignment horizontal="left" vertical="center"/>
    </xf>
    <xf numFmtId="164" fontId="17" fillId="7" borderId="159" xfId="128" applyFont="1" applyFill="1" applyBorder="1" applyAlignment="1" applyProtection="1">
      <alignment horizontal="center" vertical="center"/>
      <protection locked="0"/>
    </xf>
    <xf numFmtId="164" fontId="17" fillId="7" borderId="160" xfId="128" applyFont="1" applyFill="1" applyBorder="1" applyAlignment="1" applyProtection="1">
      <alignment horizontal="center" vertical="center"/>
      <protection locked="0"/>
    </xf>
    <xf numFmtId="164" fontId="17" fillId="5" borderId="117" xfId="128" applyFont="1" applyFill="1" applyBorder="1" applyAlignment="1">
      <alignment horizontal="center" vertical="center"/>
    </xf>
    <xf numFmtId="164" fontId="17" fillId="5" borderId="133" xfId="128" applyFont="1" applyFill="1" applyBorder="1" applyAlignment="1">
      <alignment horizontal="center" vertical="center"/>
    </xf>
    <xf numFmtId="164" fontId="17" fillId="6" borderId="159" xfId="128" applyFont="1" applyFill="1" applyBorder="1" applyAlignment="1">
      <alignment horizontal="center" vertical="center"/>
    </xf>
    <xf numFmtId="164" fontId="17" fillId="6" borderId="160" xfId="128" applyFont="1" applyFill="1" applyBorder="1" applyAlignment="1">
      <alignment horizontal="center" vertical="center"/>
    </xf>
    <xf numFmtId="164" fontId="17" fillId="6" borderId="109" xfId="128" applyFont="1" applyFill="1" applyBorder="1" applyAlignment="1">
      <alignment horizontal="center" vertical="center"/>
    </xf>
    <xf numFmtId="164" fontId="17" fillId="6" borderId="143" xfId="128" applyFont="1" applyFill="1" applyBorder="1" applyAlignment="1">
      <alignment horizontal="center" vertical="center"/>
    </xf>
    <xf numFmtId="164" fontId="17" fillId="6" borderId="149" xfId="128" applyFont="1" applyFill="1" applyBorder="1" applyAlignment="1">
      <alignment horizontal="center" vertical="center"/>
    </xf>
    <xf numFmtId="164" fontId="35" fillId="6" borderId="129" xfId="128" applyFont="1" applyFill="1" applyBorder="1" applyAlignment="1">
      <alignment horizontal="center" vertical="center"/>
    </xf>
    <xf numFmtId="164" fontId="17" fillId="5" borderId="109" xfId="128" applyFont="1" applyFill="1" applyBorder="1" applyAlignment="1">
      <alignment horizontal="center" vertical="center"/>
    </xf>
    <xf numFmtId="164" fontId="17" fillId="6" borderId="161" xfId="128" applyFont="1" applyFill="1" applyBorder="1" applyAlignment="1">
      <alignment horizontal="center" vertical="center"/>
    </xf>
    <xf numFmtId="164" fontId="17" fillId="6" borderId="155" xfId="128" applyFont="1" applyFill="1" applyBorder="1" applyAlignment="1">
      <alignment horizontal="center" vertical="center"/>
    </xf>
    <xf numFmtId="164" fontId="17" fillId="7" borderId="155" xfId="128" applyFont="1" applyFill="1" applyBorder="1" applyAlignment="1" applyProtection="1">
      <alignment horizontal="center" vertical="center"/>
      <protection locked="0"/>
    </xf>
    <xf numFmtId="164" fontId="17" fillId="7" borderId="130" xfId="128" applyFont="1" applyFill="1" applyBorder="1" applyAlignment="1" applyProtection="1">
      <alignment horizontal="center" vertical="center"/>
      <protection locked="0"/>
    </xf>
    <xf numFmtId="164" fontId="17" fillId="7" borderId="129" xfId="128" applyFont="1" applyFill="1" applyBorder="1" applyAlignment="1" applyProtection="1">
      <alignment horizontal="center" vertical="center"/>
      <protection locked="0"/>
    </xf>
    <xf numFmtId="1" fontId="17" fillId="0" borderId="120" xfId="0" applyNumberFormat="1" applyFont="1" applyBorder="1" applyAlignment="1">
      <alignment horizontal="center" vertical="center"/>
    </xf>
    <xf numFmtId="0" fontId="17" fillId="0" borderId="139" xfId="0" applyFont="1" applyBorder="1" applyAlignment="1">
      <alignment horizontal="left" vertical="center"/>
    </xf>
    <xf numFmtId="164" fontId="17" fillId="7" borderId="161" xfId="128" applyFont="1" applyFill="1" applyBorder="1" applyAlignment="1" applyProtection="1">
      <alignment horizontal="center" vertical="center"/>
      <protection locked="0"/>
    </xf>
    <xf numFmtId="164" fontId="17" fillId="5" borderId="119" xfId="128" applyFont="1" applyFill="1" applyBorder="1" applyAlignment="1">
      <alignment horizontal="center" vertical="center"/>
    </xf>
    <xf numFmtId="164" fontId="17" fillId="7" borderId="147" xfId="128" applyFont="1" applyFill="1" applyBorder="1" applyAlignment="1" applyProtection="1">
      <alignment horizontal="center" vertical="center"/>
      <protection locked="0"/>
    </xf>
    <xf numFmtId="164" fontId="17" fillId="7" borderId="149" xfId="128" applyFont="1" applyFill="1" applyBorder="1" applyAlignment="1" applyProtection="1">
      <alignment horizontal="center" vertical="center"/>
      <protection locked="0"/>
    </xf>
    <xf numFmtId="164" fontId="17" fillId="6" borderId="130" xfId="128" applyFont="1" applyFill="1" applyBorder="1" applyAlignment="1">
      <alignment horizontal="center" vertical="center"/>
    </xf>
    <xf numFmtId="164" fontId="17" fillId="6" borderId="129" xfId="128" applyFont="1" applyFill="1" applyBorder="1" applyAlignment="1">
      <alignment horizontal="center" vertical="center"/>
    </xf>
    <xf numFmtId="164" fontId="16" fillId="7" borderId="141" xfId="128" applyFont="1" applyFill="1" applyBorder="1" applyAlignment="1" applyProtection="1">
      <alignment horizontal="center" vertical="center" wrapText="1"/>
      <protection locked="0"/>
    </xf>
    <xf numFmtId="164" fontId="16" fillId="7" borderId="143" xfId="128" applyFont="1" applyFill="1" applyBorder="1" applyAlignment="1" applyProtection="1">
      <alignment horizontal="center" vertical="center" wrapText="1"/>
      <protection locked="0"/>
    </xf>
    <xf numFmtId="164" fontId="16" fillId="6" borderId="147" xfId="128" applyFont="1" applyFill="1" applyBorder="1" applyAlignment="1">
      <alignment horizontal="center" vertical="center" wrapText="1"/>
    </xf>
    <xf numFmtId="164" fontId="16" fillId="6" borderId="149" xfId="128" applyFont="1" applyFill="1" applyBorder="1" applyAlignment="1">
      <alignment horizontal="center" vertical="center" wrapText="1"/>
    </xf>
    <xf numFmtId="164" fontId="16" fillId="7" borderId="124" xfId="128" applyFont="1" applyFill="1" applyBorder="1" applyAlignment="1" applyProtection="1">
      <alignment horizontal="center" vertical="center" wrapText="1"/>
      <protection locked="0"/>
    </xf>
    <xf numFmtId="164" fontId="16" fillId="7" borderId="109" xfId="128" applyFont="1" applyFill="1" applyBorder="1" applyAlignment="1" applyProtection="1">
      <alignment horizontal="center" vertical="center" wrapText="1"/>
      <protection locked="0"/>
    </xf>
    <xf numFmtId="164" fontId="17" fillId="7" borderId="109" xfId="128" applyFont="1" applyFill="1" applyBorder="1" applyAlignment="1" applyProtection="1">
      <alignment horizontal="center" vertical="center"/>
      <protection locked="0"/>
    </xf>
    <xf numFmtId="164" fontId="16" fillId="7" borderId="146" xfId="128" applyFont="1" applyFill="1" applyBorder="1" applyAlignment="1" applyProtection="1">
      <alignment horizontal="center" vertical="center" wrapText="1"/>
      <protection locked="0"/>
    </xf>
    <xf numFmtId="164" fontId="16" fillId="7" borderId="149" xfId="128" applyFont="1" applyFill="1" applyBorder="1" applyAlignment="1" applyProtection="1">
      <alignment horizontal="center" vertical="center" wrapText="1"/>
      <protection locked="0"/>
    </xf>
    <xf numFmtId="164" fontId="16" fillId="6" borderId="152" xfId="128" applyFont="1" applyFill="1" applyBorder="1" applyAlignment="1">
      <alignment horizontal="center" vertical="center" wrapText="1"/>
    </xf>
    <xf numFmtId="164" fontId="16" fillId="6" borderId="155" xfId="128" applyFont="1" applyFill="1" applyBorder="1" applyAlignment="1">
      <alignment horizontal="center" vertical="center" wrapText="1"/>
    </xf>
    <xf numFmtId="164" fontId="16" fillId="6" borderId="140" xfId="128" applyFont="1" applyFill="1" applyBorder="1" applyAlignment="1">
      <alignment horizontal="center" vertical="center" wrapText="1"/>
    </xf>
    <xf numFmtId="164" fontId="16" fillId="6" borderId="143" xfId="128" applyFont="1" applyFill="1" applyBorder="1" applyAlignment="1">
      <alignment horizontal="center" vertical="center" wrapText="1"/>
    </xf>
    <xf numFmtId="164" fontId="17" fillId="6" borderId="92" xfId="128" applyFont="1" applyFill="1" applyBorder="1" applyAlignment="1">
      <alignment horizontal="center" vertical="center"/>
    </xf>
    <xf numFmtId="164" fontId="16" fillId="7" borderId="152" xfId="128" applyFont="1" applyFill="1" applyBorder="1" applyAlignment="1" applyProtection="1">
      <alignment horizontal="center" vertical="center" wrapText="1"/>
      <protection locked="0"/>
    </xf>
    <xf numFmtId="164" fontId="16" fillId="7" borderId="155" xfId="128" applyFont="1" applyFill="1" applyBorder="1" applyAlignment="1" applyProtection="1">
      <alignment horizontal="center" vertical="center" wrapText="1"/>
      <protection locked="0"/>
    </xf>
    <xf numFmtId="164" fontId="16" fillId="6" borderId="130" xfId="128" applyFont="1" applyFill="1" applyBorder="1" applyAlignment="1">
      <alignment horizontal="center" vertical="center" wrapText="1"/>
    </xf>
    <xf numFmtId="164" fontId="16" fillId="6" borderId="129" xfId="128" applyFont="1" applyFill="1" applyBorder="1" applyAlignment="1">
      <alignment horizontal="center" vertical="center" wrapText="1"/>
    </xf>
    <xf numFmtId="0" fontId="17" fillId="0" borderId="164" xfId="0" applyFont="1" applyBorder="1" applyAlignment="1">
      <alignment horizontal="center" vertical="center"/>
    </xf>
    <xf numFmtId="0" fontId="17" fillId="0" borderId="139" xfId="0" applyFont="1" applyBorder="1" applyAlignment="1">
      <alignment horizontal="center" vertical="center"/>
    </xf>
    <xf numFmtId="164" fontId="17" fillId="7" borderId="158" xfId="128" applyFont="1" applyFill="1" applyBorder="1" applyAlignment="1" applyProtection="1">
      <alignment horizontal="center" vertical="center"/>
      <protection locked="0"/>
    </xf>
    <xf numFmtId="164" fontId="17" fillId="7" borderId="154" xfId="128" applyFont="1" applyFill="1" applyBorder="1" applyAlignment="1" applyProtection="1">
      <alignment horizontal="center" vertical="center"/>
      <protection locked="0"/>
    </xf>
    <xf numFmtId="164" fontId="17" fillId="6" borderId="140" xfId="128" applyFont="1" applyFill="1" applyBorder="1" applyAlignment="1">
      <alignment horizontal="center" vertical="center"/>
    </xf>
    <xf numFmtId="164" fontId="17" fillId="6" borderId="146" xfId="128" applyFont="1" applyFill="1" applyBorder="1" applyAlignment="1">
      <alignment horizontal="center" vertical="center"/>
    </xf>
    <xf numFmtId="164" fontId="17" fillId="6" borderId="131" xfId="128" applyFont="1" applyFill="1" applyBorder="1" applyAlignment="1">
      <alignment horizontal="center" vertical="center"/>
    </xf>
    <xf numFmtId="164" fontId="17" fillId="5" borderId="92" xfId="128" applyFont="1" applyFill="1" applyBorder="1" applyAlignment="1">
      <alignment horizontal="center" vertical="center"/>
    </xf>
    <xf numFmtId="164" fontId="17" fillId="7" borderId="159" xfId="128" applyFont="1" applyFill="1" applyBorder="1" applyAlignment="1">
      <alignment horizontal="center" vertical="center"/>
    </xf>
    <xf numFmtId="164" fontId="17" fillId="7" borderId="161" xfId="128" applyFont="1" applyFill="1" applyBorder="1" applyAlignment="1">
      <alignment horizontal="center" vertical="center"/>
    </xf>
    <xf numFmtId="164" fontId="17" fillId="7" borderId="152" xfId="128" applyFont="1" applyFill="1" applyBorder="1" applyAlignment="1">
      <alignment horizontal="center" vertical="center"/>
    </xf>
    <xf numFmtId="164" fontId="17" fillId="7" borderId="155" xfId="128" applyFont="1" applyFill="1" applyBorder="1" applyAlignment="1">
      <alignment horizontal="center" vertical="center"/>
    </xf>
    <xf numFmtId="164" fontId="17" fillId="6" borderId="154" xfId="128" applyFont="1" applyFill="1" applyBorder="1" applyAlignment="1">
      <alignment horizontal="center" vertical="center"/>
    </xf>
    <xf numFmtId="164" fontId="16" fillId="6" borderId="154" xfId="128" applyFont="1" applyFill="1" applyBorder="1" applyAlignment="1">
      <alignment horizontal="center" vertical="center"/>
    </xf>
    <xf numFmtId="164" fontId="16" fillId="6" borderId="155" xfId="128" applyFont="1" applyFill="1" applyBorder="1" applyAlignment="1">
      <alignment horizontal="center" vertical="center"/>
    </xf>
    <xf numFmtId="164" fontId="17" fillId="7" borderId="92" xfId="128" applyFont="1" applyFill="1" applyBorder="1" applyAlignment="1" applyProtection="1">
      <alignment horizontal="center" vertical="center"/>
      <protection locked="0"/>
    </xf>
    <xf numFmtId="1" fontId="17" fillId="0" borderId="15" xfId="0" applyNumberFormat="1" applyFont="1" applyBorder="1" applyAlignment="1">
      <alignment horizontal="center" vertical="center"/>
    </xf>
    <xf numFmtId="1" fontId="17" fillId="0" borderId="139" xfId="0" applyNumberFormat="1" applyFont="1" applyBorder="1" applyAlignment="1">
      <alignment horizontal="center" vertical="center"/>
    </xf>
    <xf numFmtId="0" fontId="17" fillId="0" borderId="116" xfId="0" applyFont="1" applyBorder="1" applyAlignment="1">
      <alignment horizontal="left" vertical="center"/>
    </xf>
    <xf numFmtId="0" fontId="17" fillId="0" borderId="119" xfId="0" applyFont="1" applyBorder="1" applyAlignment="1">
      <alignment horizontal="left" vertical="center"/>
    </xf>
    <xf numFmtId="164" fontId="17" fillId="5" borderId="116" xfId="128" applyFont="1" applyFill="1" applyBorder="1" applyAlignment="1">
      <alignment horizontal="center" vertical="center"/>
    </xf>
    <xf numFmtId="0" fontId="10" fillId="0" borderId="6" xfId="0" applyFont="1" applyBorder="1" applyAlignment="1">
      <alignment horizontal="center" vertical="center"/>
    </xf>
    <xf numFmtId="0" fontId="10" fillId="0" borderId="26" xfId="0" applyFont="1" applyBorder="1" applyAlignment="1">
      <alignment horizontal="center" vertical="center"/>
    </xf>
    <xf numFmtId="0" fontId="10" fillId="0" borderId="13" xfId="0" applyFont="1" applyBorder="1" applyAlignment="1">
      <alignment horizontal="center" vertical="center"/>
    </xf>
    <xf numFmtId="0" fontId="11" fillId="6" borderId="126" xfId="0" applyFont="1" applyFill="1" applyBorder="1" applyAlignment="1">
      <alignment horizontal="center" vertical="center"/>
    </xf>
    <xf numFmtId="0" fontId="11" fillId="6" borderId="112" xfId="0" applyFont="1" applyFill="1" applyBorder="1" applyAlignment="1">
      <alignment horizontal="center" vertical="center"/>
    </xf>
    <xf numFmtId="0" fontId="11" fillId="6" borderId="127" xfId="0" applyFont="1" applyFill="1" applyBorder="1" applyAlignment="1">
      <alignment horizontal="center" vertical="center"/>
    </xf>
    <xf numFmtId="0" fontId="11" fillId="6" borderId="128" xfId="0" applyFont="1" applyFill="1" applyBorder="1" applyAlignment="1">
      <alignment horizontal="center" vertical="center"/>
    </xf>
    <xf numFmtId="0" fontId="33" fillId="3" borderId="112" xfId="0" applyFont="1" applyFill="1" applyBorder="1" applyAlignment="1">
      <alignment horizontal="center" vertical="center" wrapText="1"/>
    </xf>
    <xf numFmtId="0" fontId="33" fillId="3" borderId="127" xfId="0" applyFont="1" applyFill="1" applyBorder="1" applyAlignment="1">
      <alignment horizontal="center" vertical="center" wrapText="1"/>
    </xf>
    <xf numFmtId="0" fontId="33" fillId="3" borderId="128" xfId="0" applyFont="1" applyFill="1" applyBorder="1" applyAlignment="1">
      <alignment horizontal="center" vertical="center" wrapText="1"/>
    </xf>
    <xf numFmtId="1" fontId="10" fillId="0" borderId="1" xfId="0" applyNumberFormat="1" applyFont="1" applyBorder="1" applyAlignment="1">
      <alignment horizontal="center"/>
    </xf>
    <xf numFmtId="0" fontId="8" fillId="0" borderId="6"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1" fontId="10" fillId="0" borderId="1" xfId="0" applyNumberFormat="1" applyFont="1" applyBorder="1" applyAlignment="1">
      <alignment horizontal="center" vertical="center"/>
    </xf>
    <xf numFmtId="37" fontId="12" fillId="0" borderId="6" xfId="129" applyFont="1" applyBorder="1" applyAlignment="1">
      <alignment horizontal="center" vertical="center"/>
    </xf>
    <xf numFmtId="37" fontId="12" fillId="0" borderId="26" xfId="129" applyFont="1" applyBorder="1" applyAlignment="1">
      <alignment horizontal="center" vertical="center"/>
    </xf>
    <xf numFmtId="37" fontId="12" fillId="0" borderId="13" xfId="129" applyFont="1" applyBorder="1" applyAlignment="1">
      <alignment horizontal="center" vertical="center"/>
    </xf>
    <xf numFmtId="0" fontId="40" fillId="21" borderId="2" xfId="0" applyFont="1" applyFill="1" applyBorder="1" applyAlignment="1" applyProtection="1">
      <alignment horizontal="center" vertical="center" wrapText="1"/>
      <protection locked="0"/>
    </xf>
    <xf numFmtId="0" fontId="40" fillId="21" borderId="10" xfId="0" applyFont="1" applyFill="1" applyBorder="1" applyAlignment="1" applyProtection="1">
      <alignment horizontal="center" vertical="center" wrapText="1"/>
      <protection locked="0"/>
    </xf>
    <xf numFmtId="0" fontId="9" fillId="22" borderId="2" xfId="0" applyFont="1" applyFill="1" applyBorder="1" applyAlignment="1" applyProtection="1">
      <alignment horizontal="center" vertical="center" wrapText="1"/>
      <protection locked="0"/>
    </xf>
    <xf numFmtId="0" fontId="9" fillId="2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2" borderId="10" xfId="0" applyFont="1" applyFill="1" applyBorder="1" applyAlignment="1" applyProtection="1">
      <alignment horizontal="center" vertical="center" wrapText="1"/>
      <protection locked="0"/>
    </xf>
    <xf numFmtId="0" fontId="40" fillId="22" borderId="2" xfId="0" applyFont="1" applyFill="1" applyBorder="1" applyAlignment="1" applyProtection="1">
      <alignment horizontal="center" vertical="center" wrapText="1"/>
      <protection locked="0"/>
    </xf>
    <xf numFmtId="0" fontId="40" fillId="22" borderId="10" xfId="0" applyFont="1" applyFill="1" applyBorder="1" applyAlignment="1" applyProtection="1">
      <alignment horizontal="center" vertical="center" wrapText="1"/>
      <protection locked="0"/>
    </xf>
    <xf numFmtId="0" fontId="9" fillId="18" borderId="2" xfId="0" applyFont="1" applyFill="1" applyBorder="1" applyAlignment="1" applyProtection="1">
      <alignment horizontal="center" vertical="center" wrapText="1"/>
      <protection locked="0"/>
    </xf>
    <xf numFmtId="0" fontId="40" fillId="18" borderId="2" xfId="0" applyFont="1" applyFill="1" applyBorder="1" applyAlignment="1" applyProtection="1">
      <alignment horizontal="center" vertical="center" wrapText="1"/>
      <protection locked="0"/>
    </xf>
    <xf numFmtId="0" fontId="40" fillId="18" borderId="3" xfId="0" applyFont="1" applyFill="1" applyBorder="1" applyAlignment="1" applyProtection="1">
      <alignment horizontal="center" vertical="center" wrapText="1"/>
      <protection locked="0"/>
    </xf>
    <xf numFmtId="0" fontId="9" fillId="21" borderId="2" xfId="0" applyFont="1" applyFill="1" applyBorder="1" applyAlignment="1" applyProtection="1">
      <alignment horizontal="center" vertical="center" wrapText="1"/>
      <protection locked="0"/>
    </xf>
    <xf numFmtId="0" fontId="9" fillId="21" borderId="10" xfId="0" applyFont="1" applyFill="1" applyBorder="1" applyAlignment="1" applyProtection="1">
      <alignment horizontal="center" vertical="center" wrapText="1"/>
      <protection locked="0"/>
    </xf>
    <xf numFmtId="0" fontId="40" fillId="18" borderId="10" xfId="0" applyFont="1" applyFill="1" applyBorder="1" applyAlignment="1" applyProtection="1">
      <alignment horizontal="center" vertical="center" wrapText="1"/>
      <protection locked="0"/>
    </xf>
    <xf numFmtId="0" fontId="9" fillId="12" borderId="1" xfId="0" applyFont="1" applyFill="1" applyBorder="1" applyAlignment="1" applyProtection="1">
      <alignment horizontal="center" vertical="center" wrapText="1"/>
      <protection locked="0"/>
    </xf>
    <xf numFmtId="0" fontId="9" fillId="20" borderId="1" xfId="0" applyFont="1" applyFill="1" applyBorder="1" applyAlignment="1" applyProtection="1">
      <alignment horizontal="center" vertical="center" wrapText="1"/>
      <protection locked="0"/>
    </xf>
    <xf numFmtId="0" fontId="9" fillId="18" borderId="6" xfId="0" applyFont="1" applyFill="1" applyBorder="1" applyAlignment="1" applyProtection="1">
      <alignment horizontal="center" vertical="center" wrapText="1"/>
      <protection locked="0"/>
    </xf>
    <xf numFmtId="0" fontId="9" fillId="18" borderId="13" xfId="0" applyFont="1" applyFill="1" applyBorder="1" applyAlignment="1" applyProtection="1">
      <alignment horizontal="center" vertical="center" wrapText="1"/>
      <protection locked="0"/>
    </xf>
    <xf numFmtId="0" fontId="9" fillId="20" borderId="6" xfId="0" applyFont="1" applyFill="1" applyBorder="1" applyAlignment="1" applyProtection="1">
      <alignment horizontal="center" vertical="center"/>
      <protection locked="0"/>
    </xf>
    <xf numFmtId="0" fontId="9" fillId="20" borderId="26" xfId="0" applyFont="1" applyFill="1" applyBorder="1" applyAlignment="1" applyProtection="1">
      <alignment horizontal="center" vertical="center"/>
      <protection locked="0"/>
    </xf>
    <xf numFmtId="0" fontId="9" fillId="20" borderId="13" xfId="0" applyFont="1" applyFill="1" applyBorder="1" applyAlignment="1" applyProtection="1">
      <alignment horizontal="center" vertical="center"/>
      <protection locked="0"/>
    </xf>
    <xf numFmtId="0" fontId="9" fillId="18" borderId="26" xfId="0" applyFont="1" applyFill="1" applyBorder="1" applyAlignment="1" applyProtection="1">
      <alignment horizontal="center" vertical="center"/>
      <protection locked="0"/>
    </xf>
    <xf numFmtId="0" fontId="9" fillId="18" borderId="26" xfId="0" applyFont="1" applyFill="1" applyBorder="1" applyAlignment="1" applyProtection="1">
      <alignment horizontal="center" vertical="center" wrapText="1"/>
      <protection locked="0"/>
    </xf>
    <xf numFmtId="0" fontId="9" fillId="21" borderId="6" xfId="0" applyFont="1" applyFill="1" applyBorder="1" applyAlignment="1" applyProtection="1">
      <alignment horizontal="center" vertical="center" wrapText="1"/>
      <protection locked="0"/>
    </xf>
    <xf numFmtId="0" fontId="9" fillId="21" borderId="26" xfId="0" applyFont="1" applyFill="1" applyBorder="1" applyAlignment="1" applyProtection="1">
      <alignment horizontal="center" vertical="center" wrapText="1"/>
      <protection locked="0"/>
    </xf>
    <xf numFmtId="0" fontId="9" fillId="21" borderId="13" xfId="0" applyFont="1" applyFill="1" applyBorder="1" applyAlignment="1" applyProtection="1">
      <alignment horizontal="center" vertical="center" wrapText="1"/>
      <protection locked="0"/>
    </xf>
    <xf numFmtId="0" fontId="9" fillId="22" borderId="6" xfId="0" applyFont="1" applyFill="1" applyBorder="1" applyAlignment="1" applyProtection="1">
      <alignment horizontal="center" vertical="center" wrapText="1"/>
      <protection locked="0"/>
    </xf>
    <xf numFmtId="0" fontId="9" fillId="22" borderId="26" xfId="0" applyFont="1" applyFill="1" applyBorder="1" applyAlignment="1" applyProtection="1">
      <alignment horizontal="center" vertical="center" wrapText="1"/>
      <protection locked="0"/>
    </xf>
    <xf numFmtId="0" fontId="9" fillId="22" borderId="13" xfId="0" applyFont="1" applyFill="1" applyBorder="1" applyAlignment="1" applyProtection="1">
      <alignment horizontal="center" vertical="center" wrapText="1"/>
      <protection locked="0"/>
    </xf>
    <xf numFmtId="0" fontId="40" fillId="20" borderId="2" xfId="0" applyFont="1" applyFill="1" applyBorder="1" applyAlignment="1" applyProtection="1">
      <alignment horizontal="center" vertical="center" wrapText="1"/>
      <protection locked="0"/>
    </xf>
    <xf numFmtId="0" fontId="40" fillId="20" borderId="10" xfId="0" applyFont="1" applyFill="1" applyBorder="1" applyAlignment="1" applyProtection="1">
      <alignment horizontal="center" vertical="center" wrapText="1"/>
      <protection locked="0"/>
    </xf>
    <xf numFmtId="0" fontId="9" fillId="18" borderId="102" xfId="0" applyFont="1" applyFill="1" applyBorder="1" applyAlignment="1" applyProtection="1">
      <alignment horizontal="center" vertical="center"/>
      <protection locked="0"/>
    </xf>
    <xf numFmtId="0" fontId="9" fillId="18" borderId="99" xfId="0" applyFont="1" applyFill="1" applyBorder="1" applyAlignment="1" applyProtection="1">
      <alignment horizontal="center" vertical="center"/>
      <protection locked="0"/>
    </xf>
    <xf numFmtId="0" fontId="9" fillId="18" borderId="185" xfId="0" applyFont="1" applyFill="1" applyBorder="1" applyAlignment="1" applyProtection="1">
      <alignment horizontal="center" vertical="center"/>
      <protection locked="0"/>
    </xf>
    <xf numFmtId="0" fontId="9" fillId="18" borderId="63" xfId="0" applyFont="1" applyFill="1" applyBorder="1" applyAlignment="1" applyProtection="1">
      <alignment horizontal="center" vertical="center"/>
      <protection locked="0"/>
    </xf>
    <xf numFmtId="0" fontId="9" fillId="18" borderId="63" xfId="0" applyFont="1" applyFill="1" applyBorder="1" applyAlignment="1" applyProtection="1">
      <alignment horizontal="center" vertical="center" wrapText="1"/>
      <protection locked="0"/>
    </xf>
    <xf numFmtId="0" fontId="9" fillId="18" borderId="0" xfId="0" applyFont="1" applyFill="1" applyAlignment="1" applyProtection="1">
      <alignment horizontal="center" vertical="center" wrapText="1"/>
      <protection locked="0"/>
    </xf>
    <xf numFmtId="0" fontId="9" fillId="18" borderId="64" xfId="0" applyFont="1" applyFill="1" applyBorder="1" applyAlignment="1" applyProtection="1">
      <alignment horizontal="center" vertical="center" wrapText="1"/>
      <protection locked="0"/>
    </xf>
    <xf numFmtId="0" fontId="9" fillId="18" borderId="106" xfId="0" applyFont="1" applyFill="1" applyBorder="1" applyAlignment="1" applyProtection="1">
      <alignment horizontal="center" vertical="center" wrapText="1"/>
      <protection locked="0"/>
    </xf>
    <xf numFmtId="0" fontId="9" fillId="20" borderId="85" xfId="0" applyFont="1" applyFill="1" applyBorder="1" applyAlignment="1" applyProtection="1">
      <alignment horizontal="center" vertical="center"/>
      <protection locked="0"/>
    </xf>
    <xf numFmtId="0" fontId="9" fillId="20" borderId="86" xfId="0" applyFont="1" applyFill="1" applyBorder="1" applyAlignment="1" applyProtection="1">
      <alignment horizontal="center" vertical="center"/>
      <protection locked="0"/>
    </xf>
    <xf numFmtId="0" fontId="9" fillId="20" borderId="87" xfId="0" applyFont="1" applyFill="1" applyBorder="1" applyAlignment="1" applyProtection="1">
      <alignment horizontal="center" vertical="center"/>
      <protection locked="0"/>
    </xf>
    <xf numFmtId="37" fontId="9" fillId="7" borderId="0" xfId="129" applyFont="1" applyFill="1" applyAlignment="1" applyProtection="1">
      <alignment horizontal="center" vertical="center"/>
      <protection locked="0"/>
    </xf>
    <xf numFmtId="37" fontId="9" fillId="7" borderId="0" xfId="132" applyNumberFormat="1" applyFont="1" applyFill="1" applyAlignment="1" applyProtection="1">
      <alignment horizontal="center"/>
      <protection locked="0"/>
    </xf>
    <xf numFmtId="1" fontId="10" fillId="7" borderId="1" xfId="0" applyNumberFormat="1" applyFont="1" applyFill="1" applyBorder="1" applyAlignment="1" applyProtection="1">
      <alignment horizontal="center"/>
      <protection locked="0"/>
    </xf>
    <xf numFmtId="0" fontId="10" fillId="7"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protection locked="0"/>
    </xf>
    <xf numFmtId="37" fontId="9" fillId="7" borderId="64" xfId="129" applyFont="1" applyFill="1" applyBorder="1" applyAlignment="1" applyProtection="1">
      <alignment horizontal="center"/>
      <protection locked="0"/>
    </xf>
    <xf numFmtId="37" fontId="9" fillId="7" borderId="50" xfId="129" applyFont="1" applyFill="1" applyBorder="1" applyAlignment="1" applyProtection="1">
      <alignment horizontal="center"/>
      <protection locked="0"/>
    </xf>
    <xf numFmtId="0" fontId="9" fillId="18" borderId="102" xfId="0" applyFont="1" applyFill="1" applyBorder="1" applyAlignment="1" applyProtection="1">
      <alignment horizontal="center" vertical="center" wrapText="1"/>
      <protection locked="0"/>
    </xf>
    <xf numFmtId="0" fontId="9" fillId="18" borderId="99" xfId="0" applyFont="1" applyFill="1" applyBorder="1" applyAlignment="1" applyProtection="1">
      <alignment horizontal="center" vertical="center" wrapText="1"/>
      <protection locked="0"/>
    </xf>
    <xf numFmtId="0" fontId="9" fillId="18" borderId="97" xfId="0" applyFont="1" applyFill="1" applyBorder="1" applyAlignment="1" applyProtection="1">
      <alignment horizontal="center" vertical="center" wrapText="1"/>
      <protection locked="0"/>
    </xf>
    <xf numFmtId="0" fontId="9" fillId="18" borderId="83" xfId="0" applyFont="1" applyFill="1" applyBorder="1" applyAlignment="1" applyProtection="1">
      <alignment horizontal="center" vertical="center" wrapText="1"/>
      <protection locked="0"/>
    </xf>
    <xf numFmtId="0" fontId="9" fillId="18" borderId="85" xfId="0" applyFont="1" applyFill="1" applyBorder="1" applyAlignment="1" applyProtection="1">
      <alignment horizontal="center" vertical="center" wrapText="1"/>
      <protection locked="0"/>
    </xf>
    <xf numFmtId="0" fontId="9" fillId="18" borderId="86" xfId="0" applyFont="1" applyFill="1" applyBorder="1" applyAlignment="1" applyProtection="1">
      <alignment horizontal="center" vertical="center" wrapText="1"/>
      <protection locked="0"/>
    </xf>
    <xf numFmtId="0" fontId="9" fillId="18" borderId="87" xfId="0" applyFont="1" applyFill="1" applyBorder="1" applyAlignment="1" applyProtection="1">
      <alignment horizontal="center" vertical="center" wrapText="1"/>
      <protection locked="0"/>
    </xf>
    <xf numFmtId="0" fontId="10" fillId="7" borderId="0" xfId="0" applyFont="1" applyFill="1" applyAlignment="1" applyProtection="1">
      <alignment horizontal="center"/>
      <protection locked="0"/>
    </xf>
    <xf numFmtId="37" fontId="12" fillId="7" borderId="1" xfId="129" applyFont="1" applyFill="1" applyBorder="1" applyAlignment="1" applyProtection="1">
      <alignment horizontal="left"/>
      <protection locked="0"/>
    </xf>
    <xf numFmtId="0" fontId="10" fillId="7" borderId="6" xfId="0" applyFont="1" applyFill="1" applyBorder="1" applyAlignment="1" applyProtection="1">
      <alignment horizontal="center" vertical="center"/>
      <protection locked="0"/>
    </xf>
    <xf numFmtId="0" fontId="10" fillId="7" borderId="26" xfId="0" applyFont="1" applyFill="1" applyBorder="1" applyAlignment="1" applyProtection="1">
      <alignment horizontal="center" vertical="center"/>
      <protection locked="0"/>
    </xf>
    <xf numFmtId="0" fontId="10" fillId="7" borderId="13" xfId="0" applyFont="1" applyFill="1" applyBorder="1" applyAlignment="1" applyProtection="1">
      <alignment horizontal="center" vertical="center"/>
      <protection locked="0"/>
    </xf>
  </cellXfs>
  <cellStyles count="134">
    <cellStyle name="20% - Énfasis1 2" xfId="2" xr:uid="{00000000-0005-0000-0000-000000000000}"/>
    <cellStyle name="40% - Énfasis2 2" xfId="6" xr:uid="{00000000-0005-0000-0000-000001000000}"/>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Millares" xfId="1" builtinId="3"/>
    <cellStyle name="Moneda" xfId="127" builtinId="4"/>
    <cellStyle name="Moneda [0]" xfId="128" builtinId="7"/>
    <cellStyle name="Moneda 2" xfId="131" xr:uid="{1257552C-A228-4304-AB8E-369DBE87DFE8}"/>
    <cellStyle name="Nivel 4" xfId="130" xr:uid="{00000000-0005-0000-0000-00007B000000}"/>
    <cellStyle name="Normal" xfId="0" builtinId="0"/>
    <cellStyle name="Normal 2" xfId="3" xr:uid="{00000000-0005-0000-0000-00007D000000}"/>
    <cellStyle name="Normal 2 2" xfId="4" xr:uid="{00000000-0005-0000-0000-00007E000000}"/>
    <cellStyle name="Normal 2 2 2" xfId="7" xr:uid="{00000000-0005-0000-0000-00007F000000}"/>
    <cellStyle name="Normal 3" xfId="129" xr:uid="{00000000-0005-0000-0000-000080000000}"/>
    <cellStyle name="Normal 4" xfId="8" xr:uid="{00000000-0005-0000-0000-000081000000}"/>
    <cellStyle name="Normal 6" xfId="5" xr:uid="{00000000-0005-0000-0000-000082000000}"/>
    <cellStyle name="Normal_COSTO PLANTA 2008 MINHACIENDAcon reajuste EN 2010  SOBRE 2009 CON DE 7.67%" xfId="133" xr:uid="{4D6509CA-7CE0-4700-B64C-03949961852F}"/>
    <cellStyle name="Normal_FORMATO" xfId="132" xr:uid="{F602340B-447E-44AE-A310-81B4A89B40E3}"/>
  </cellStyles>
  <dxfs count="1">
    <dxf>
      <numFmt numFmtId="174" formatCode="&quot;0&quot;0"/>
    </dxf>
  </dxfs>
  <tableStyles count="0" defaultTableStyle="TableStyleMedium2" defaultPivotStyle="PivotStyleLight16"/>
  <colors>
    <mruColors>
      <color rgb="FF8D0B0B"/>
      <color rgb="FF7909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122465</xdr:colOff>
      <xdr:row>23</xdr:row>
      <xdr:rowOff>89959</xdr:rowOff>
    </xdr:from>
    <xdr:to>
      <xdr:col>8</xdr:col>
      <xdr:colOff>1250156</xdr:colOff>
      <xdr:row>24</xdr:row>
      <xdr:rowOff>130969</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051153" y="3090334"/>
          <a:ext cx="9640659" cy="18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xdr:txBody>
    </xdr:sp>
    <xdr:clientData/>
  </xdr:twoCellAnchor>
  <xdr:twoCellAnchor>
    <xdr:from>
      <xdr:col>3</xdr:col>
      <xdr:colOff>120954</xdr:colOff>
      <xdr:row>13</xdr:row>
      <xdr:rowOff>1</xdr:rowOff>
    </xdr:from>
    <xdr:to>
      <xdr:col>8</xdr:col>
      <xdr:colOff>1236738</xdr:colOff>
      <xdr:row>16</xdr:row>
      <xdr:rowOff>107156</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049642" y="2476501"/>
          <a:ext cx="10116909"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a:t>
          </a:r>
          <a:r>
            <a:rPr lang="es-CO" sz="1000" baseline="0">
              <a:solidFill>
                <a:schemeClr val="dk1"/>
              </a:solidFill>
              <a:effectLst/>
              <a:latin typeface="+mn-lt"/>
              <a:ea typeface="+mn-ea"/>
              <a:cs typeface="+mn-cs"/>
            </a:rPr>
            <a:t> 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O LA EXPLICACIÓN DE SU ORIGEN O GENERACIÓN.</a:t>
          </a:r>
          <a:endParaRPr lang="es-CO" sz="1000">
            <a:effectLst/>
          </a:endParaRPr>
        </a:p>
      </xdr:txBody>
    </xdr:sp>
    <xdr:clientData/>
  </xdr:twoCellAnchor>
  <xdr:twoCellAnchor>
    <xdr:from>
      <xdr:col>3</xdr:col>
      <xdr:colOff>106667</xdr:colOff>
      <xdr:row>17</xdr:row>
      <xdr:rowOff>104775</xdr:rowOff>
    </xdr:from>
    <xdr:to>
      <xdr:col>8</xdr:col>
      <xdr:colOff>1222451</xdr:colOff>
      <xdr:row>21</xdr:row>
      <xdr:rowOff>142874</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035355" y="3152775"/>
          <a:ext cx="10116909" cy="62150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0" baseline="0">
              <a:solidFill>
                <a:schemeClr val="dk1"/>
              </a:solidFill>
              <a:effectLst/>
              <a:latin typeface="+mn-lt"/>
              <a:ea typeface="+mn-ea"/>
              <a:cs typeface="+mn-cs"/>
            </a:rPr>
            <a:t>VERIFIQUE QUE LA TOTALIDAD DE LOS INGRESOS QUE PERCIBE EL FONDO ESPECIAL QUEDEN DILIGENCIADOS EN EL FORMULARIO DE PROGRAMACIÓN, EN CASO DE QUEDAR  INCLUIDO AL FINAL DE  LA PROGRAMACIÓN  VERIFIQUE QUE TENGA EL CONCEPTO HABILITADO EN EL  SISTEMA INTEGRADODE INFORMACIÓN FINANCIERA - SIIF, EN CASO CONTRARIO COMUNIQUE LA NOIVEDAD MEDIANTE EL PROCEDIMIENTO PREVISTO.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20y%20Tesorer&#237;a%20Interna\PRESUPUESTO%202019\Presupuesto\Anteproyecto%202020\2.%20Formularios%20de%20programaci&#243;n%20-%20%20Anteproyecto%20%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PRESUPUESTO%202019\Presupuesto\Anteproyecto%202020\Alcance%20anteproyecto%2004%20sept%20DW\2.%20Formularios%203.xlsm"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P:\Gestion%20Financiera\Presupuesto%20y%20Tesorer&#237;a\Presupuesto%20y%20Tesorer&#237;a%20Interna\PRESUPUESTO%202018\Presupuesto\ANTEPROYECTO%202019\Alcance%20anteproyecto%20radicado%20el%20280518\1.2A%20Formularios%20c&#225;lculo%20de%20ingresos%20corrientes%2025mayo18.xls?41DC41A2" TargetMode="External"/><Relationship Id="rId1" Type="http://schemas.openxmlformats.org/officeDocument/2006/relationships/externalLinkPath" Target="file:///\\41DC41A2\1.2A%20Formularios%20c&#225;lculo%20de%20ingresos%20corrientes%2025mayo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20y%20Tesorer&#237;a%20Interna\PRESUPUESTO%202019\Presupuesto\Anteproyecto%202020\2.1%20Formularios%20planta%20-%20Anteproyecto%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 1.2 - Ingresos F.E "/>
      <sheetName val="F 1.2A Cálculo I-F.E."/>
      <sheetName val="F 2- Gasto"/>
      <sheetName val="F 3-Clas. Económica"/>
      <sheetName val="DESPLEGABLES"/>
    </sheetNames>
    <sheetDataSet>
      <sheetData sheetId="0" refreshError="1"/>
      <sheetData sheetId="1" refreshError="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 3-Clas. Económica"/>
      <sheetName val="DESPLEGABLES"/>
    </sheetNames>
    <sheetDataSet>
      <sheetData sheetId="0" refreshError="1"/>
      <sheetData sheetId="1">
        <row r="1">
          <cell r="A1" t="str">
            <v xml:space="preserve">SECCIÓN </v>
          </cell>
          <cell r="B1" t="str">
            <v xml:space="preserve">UNIDAD EJECUTORA </v>
          </cell>
        </row>
        <row r="2">
          <cell r="A2" t="str">
            <v>010101</v>
          </cell>
          <cell r="B2" t="str">
            <v>CONGRESO DE LA REPUBLICA  SENADO GESTION GENERAL</v>
          </cell>
        </row>
        <row r="3">
          <cell r="A3" t="str">
            <v>010102</v>
          </cell>
          <cell r="B3" t="str">
            <v>CONGRESO DE LA REPUBLICA - CAMARA DE REPRESENTANTES - GESTION GENERAL</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COLOMBIANA PARA LA REINTEGRACIÓN DE PERSONAS Y GRUPOS ALZADOS EN ARMAS</v>
          </cell>
        </row>
        <row r="8">
          <cell r="A8" t="str">
            <v>021300</v>
          </cell>
          <cell r="B8" t="str">
            <v>AGENCIA NACIONAL INMOBILIARIA VIRGILIO BARCO VARGAS</v>
          </cell>
        </row>
        <row r="9">
          <cell r="A9" t="str">
            <v>021400</v>
          </cell>
          <cell r="B9" t="str">
            <v>AGENCIA DE RENOVACION DEL TERRITORIO – ART</v>
          </cell>
        </row>
        <row r="10">
          <cell r="A10" t="str">
            <v>030101</v>
          </cell>
          <cell r="B10" t="str">
            <v>DEPARTAMENTO DE PLANEACION - GESTION GENERAL</v>
          </cell>
        </row>
        <row r="11">
          <cell r="A11" t="str">
            <v>030300</v>
          </cell>
          <cell r="B11" t="str">
            <v>UNIDAD ADMINISTRATIVA ESPECIAL - AGENCIA NACIONAL DE CONTRATACIÓN PÚBLICA - COLOMBIA COMPRA EFICIENTE.</v>
          </cell>
        </row>
        <row r="12">
          <cell r="A12" t="str">
            <v>032400</v>
          </cell>
          <cell r="B12" t="str">
            <v>SUPERINTENDENCIA DE SERVICIOS PUBLICOS DOMICILIARIOS</v>
          </cell>
        </row>
        <row r="13">
          <cell r="A13" t="str">
            <v>032500</v>
          </cell>
          <cell r="B13" t="str">
            <v>FONDO NACIONAL DE REGALIAS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FUNCION PUBLICA - GESTION GENERAL</v>
          </cell>
        </row>
        <row r="18">
          <cell r="A18" t="str">
            <v>050300</v>
          </cell>
          <cell r="B18" t="str">
            <v>ESCUELA SUPERIOR DE ADMINISTRACION PUBLICA (ESAP)</v>
          </cell>
        </row>
        <row r="19">
          <cell r="A19" t="str">
            <v>110101</v>
          </cell>
          <cell r="B19" t="str">
            <v>MINIRELACIONES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MINISTERIO DE DEFENSA NACIONAL - COMANDO GENERAL</v>
          </cell>
        </row>
        <row r="41">
          <cell r="A41" t="str">
            <v>150103</v>
          </cell>
          <cell r="B41" t="str">
            <v>MINISTERIO DE DEFENSA NACIONAL - EJERCITO</v>
          </cell>
        </row>
        <row r="42">
          <cell r="A42" t="str">
            <v>150104</v>
          </cell>
          <cell r="B42" t="str">
            <v>MINISTERIO DE DEFENSA NACIONAL - ARMADA</v>
          </cell>
        </row>
        <row r="43">
          <cell r="A43" t="str">
            <v>150105</v>
          </cell>
          <cell r="B43" t="str">
            <v>MINISTERIO DE DEFENSA NACIONAL - FUERZA AEREA</v>
          </cell>
        </row>
        <row r="44">
          <cell r="A44" t="str">
            <v>150111</v>
          </cell>
          <cell r="B44" t="str">
            <v>MINISTERIO DE DEFENSA NACIONAL - SALUD</v>
          </cell>
        </row>
        <row r="45">
          <cell r="A45" t="str">
            <v>150112</v>
          </cell>
          <cell r="B45" t="str">
            <v>MINISTERIO DE DEFENSA NACIONAL - DIRECCION GENERAL MARITIMA - DIMAR</v>
          </cell>
        </row>
        <row r="46">
          <cell r="A46" t="str">
            <v>150113</v>
          </cell>
          <cell r="B46" t="str">
            <v>MINISTERIO DE DEFENSA NACIONAL 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160101</v>
          </cell>
          <cell r="B56" t="str">
            <v>POLICIA NACIONAL - GESTION GENERAL</v>
          </cell>
        </row>
        <row r="57">
          <cell r="A57" t="str">
            <v>160102</v>
          </cell>
          <cell r="B57" t="str">
            <v>POLICIA NACIONAL - SALUD</v>
          </cell>
        </row>
        <row r="58">
          <cell r="A58" t="str">
            <v>170101</v>
          </cell>
          <cell r="B58" t="str">
            <v>MINAGRICULTURA - GESTION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PROTECCION SOCIAL - GESTIÓN GENERAL</v>
          </cell>
        </row>
        <row r="66">
          <cell r="A66" t="str">
            <v>190106</v>
          </cell>
          <cell r="B66" t="str">
            <v>MINISTERIO  DE SALUD Y PROTECCION SOCIAL - UNIDAD ADMINISTRATIVA ESPECIAL FONDO NACIONAL DE ESTUPEFACIENTES</v>
          </cell>
        </row>
        <row r="67">
          <cell r="A67" t="str">
            <v>190109</v>
          </cell>
          <cell r="B67" t="str">
            <v xml:space="preserve">MINISTERIO  DE SALUD Y PROTECCION SOCIAL - INSTITUTO NACIONAL DE CANCEROLOGIA </v>
          </cell>
        </row>
        <row r="68">
          <cell r="A68" t="str">
            <v>190110</v>
          </cell>
          <cell r="B68" t="str">
            <v>MINISTERIO  DE SALUD Y PROTECCION SOCIAL - SANATORIO DE CONTRATACION</v>
          </cell>
        </row>
        <row r="69">
          <cell r="A69" t="str">
            <v>190111</v>
          </cell>
          <cell r="B69" t="str">
            <v>MINISTERIO  DE SALUD Y PROTECCION SOCIAL - SANATORIO DE AGUA DE DIOS</v>
          </cell>
        </row>
        <row r="70">
          <cell r="A70" t="str">
            <v>190112</v>
          </cell>
          <cell r="B70" t="str">
            <v>MINISTERIO  DE SALUD Y PROTECCION SOCIAL - CENTRO DERMATOLOGICO FEDERICO LLERAS ACOSTA</v>
          </cell>
        </row>
        <row r="71">
          <cell r="A71" t="str">
            <v>190114</v>
          </cell>
          <cell r="B71" t="str">
            <v>DIRECCIÓN DE ADMINISTRACIÓN DE FONDOS DE LA PROTECCIÓN SOCIAL</v>
          </cell>
        </row>
        <row r="72">
          <cell r="A72" t="str">
            <v>190115</v>
          </cell>
          <cell r="B72" t="str">
            <v>ADMINISTRADORA DE LOS RECURSOS DEL SISTEMA GENERAL DE SEGURIDAD SOCIAL EN SALUD - SGSSS - ADRES</v>
          </cell>
        </row>
        <row r="73">
          <cell r="A73" t="str">
            <v>190300</v>
          </cell>
          <cell r="B73" t="str">
            <v>INSTITUTO NACIONAL DE SALUD (INS)</v>
          </cell>
        </row>
        <row r="74">
          <cell r="A74" t="str">
            <v>191000</v>
          </cell>
          <cell r="B74" t="str">
            <v>SUPERINTENDENCIA NACIONAL DE SALUD</v>
          </cell>
        </row>
        <row r="75">
          <cell r="A75" t="str">
            <v>191200</v>
          </cell>
          <cell r="B75" t="str">
            <v>INSTITUTO NACIONAL DE VIGILANCIA DE MEDICAMENTOS Y ALIMENTOS - INVIMA</v>
          </cell>
        </row>
        <row r="76">
          <cell r="A76" t="str">
            <v>191301</v>
          </cell>
          <cell r="B76" t="str">
            <v>FONDO DE PREVISION SOCIAL DEL CONGRESO - PENSIONES</v>
          </cell>
        </row>
        <row r="77">
          <cell r="A77" t="str">
            <v>191302</v>
          </cell>
          <cell r="B77" t="str">
            <v>FONDO DE PREVISION SOCIAL DEL CONGRESO - CESANTIAS Y VIVIENDA</v>
          </cell>
        </row>
        <row r="78">
          <cell r="A78" t="str">
            <v>191401</v>
          </cell>
          <cell r="B78" t="str">
            <v xml:space="preserve">FONDO PASIVO SOCIAL DE FERROCARRILES NACIONALES DE COLOMBIA - SALUD </v>
          </cell>
        </row>
        <row r="79">
          <cell r="A79" t="str">
            <v>191402</v>
          </cell>
          <cell r="B79" t="str">
            <v>FONDO PASIVO SOCIAL DE FERROCARRILES NACIONALES DE COLOMBIA -PENSIONES</v>
          </cell>
        </row>
        <row r="80">
          <cell r="A80" t="str">
            <v>210101</v>
          </cell>
          <cell r="B80" t="str">
            <v>MINISTERIO DE MINAS Y ENERGIA - GESTION GENERAL</v>
          </cell>
        </row>
        <row r="81">
          <cell r="A81" t="str">
            <v>210113</v>
          </cell>
          <cell r="B81" t="str">
            <v>MINISTERIO DE MINAS Y ENERGIA - COMISION DE REGULACION DE ENERGIA Y GAS - CREG -</v>
          </cell>
        </row>
        <row r="82">
          <cell r="A82" t="str">
            <v>210300</v>
          </cell>
          <cell r="B82" t="str">
            <v>SERVICIO GEOLÓGICO COLOMBIANO</v>
          </cell>
        </row>
        <row r="83">
          <cell r="A83" t="str">
            <v>210900</v>
          </cell>
          <cell r="B83" t="str">
            <v>UNIDAD DE PLANEACION MINERO ENERGETICA - UPME</v>
          </cell>
        </row>
        <row r="84">
          <cell r="A84" t="str">
            <v>211000</v>
          </cell>
          <cell r="B84" t="str">
            <v>INSTITUTO DE PLANIFICACION Y PROMOCION DE SOLUCIONES  ENERGETICAS PARA LAS ZONAS NO INTERCONECTADAS -IPSE-</v>
          </cell>
        </row>
        <row r="85">
          <cell r="A85" t="str">
            <v>211100</v>
          </cell>
          <cell r="B85" t="str">
            <v>AGENCIA NACIONAL DE HIDROCARBUROS - ANH</v>
          </cell>
        </row>
        <row r="86">
          <cell r="A86" t="str">
            <v>211200</v>
          </cell>
          <cell r="B86" t="str">
            <v>AGENCIA NACIONAL DE MINERÍA - ANM</v>
          </cell>
        </row>
        <row r="87">
          <cell r="A87" t="str">
            <v>220101</v>
          </cell>
          <cell r="B87" t="str">
            <v>MINISTERIO EDUCACION NACIONAL - GESTION GENERAL</v>
          </cell>
        </row>
        <row r="88">
          <cell r="A88" t="str">
            <v>220900</v>
          </cell>
          <cell r="B88" t="str">
            <v>INSTITUTO NACIONAL PARA SORDOS (INSOR)</v>
          </cell>
        </row>
        <row r="89">
          <cell r="A89" t="str">
            <v>221000</v>
          </cell>
          <cell r="B89" t="str">
            <v>INSTITUTO NACIONAL PARA CIEGOS (INCI)</v>
          </cell>
        </row>
        <row r="90">
          <cell r="A90" t="str">
            <v>223400</v>
          </cell>
          <cell r="B90" t="str">
            <v>ESCUELA TECNOLOGICA INSTITUTO TECNICO CENTRAL</v>
          </cell>
        </row>
        <row r="91">
          <cell r="A91" t="str">
            <v>223800</v>
          </cell>
          <cell r="B91" t="str">
            <v>INSTITUTO NACIONAL DE FORMACION TECNICA PROFESIONAL DE SAN ANDRES Y PROVIDENCIA</v>
          </cell>
        </row>
        <row r="92">
          <cell r="A92" t="str">
            <v>223900</v>
          </cell>
          <cell r="B92" t="str">
            <v>INSTITUTO NACIONAL DE FORMACION TECNICA PROFESIONAL DE SAN JUAN DEL CESAR</v>
          </cell>
        </row>
        <row r="93">
          <cell r="A93" t="str">
            <v>224100</v>
          </cell>
          <cell r="B93" t="str">
            <v>INSTITUTO TOLIMENSE DE FORMACION TECNICA PROFESIONAL</v>
          </cell>
        </row>
        <row r="94">
          <cell r="A94" t="str">
            <v>224200</v>
          </cell>
          <cell r="B94" t="str">
            <v>INSTITUTO TECNICO NACIONAL DE COMERCIO SIMON RODRIGUEZ DE CALI</v>
          </cell>
        </row>
        <row r="95">
          <cell r="A95" t="str">
            <v>230101</v>
          </cell>
          <cell r="B95" t="str">
            <v>MINISTERIO DE TECNOLOGIAS DE LA INFORMACION Y LAS COMUNICACIONES - GESTION GENERAL</v>
          </cell>
        </row>
        <row r="96">
          <cell r="A96" t="str">
            <v>230103</v>
          </cell>
          <cell r="B96" t="str">
            <v>MINISTERIO DE TECNOLOGIAS DE LA INFORMACION Y LAS COMUNICACIONES - UNIDAD ADMINISTRATIVA ESPECIAL COMISION DE REGULACION DE COMUNICACIONES</v>
          </cell>
        </row>
        <row r="97">
          <cell r="A97" t="str">
            <v>230600</v>
          </cell>
          <cell r="B97" t="str">
            <v>FONDO DE TECNOLOGIAS DE LA INFORMACION Y LAS COMUNICACIONES</v>
          </cell>
        </row>
        <row r="98">
          <cell r="A98" t="str">
            <v>230900</v>
          </cell>
          <cell r="B98" t="str">
            <v>AGENCIA NACIONAL DEL ESPECTRO - ANE</v>
          </cell>
        </row>
        <row r="99">
          <cell r="A99" t="str">
            <v>231000</v>
          </cell>
          <cell r="B99" t="str">
            <v>AUTORIDAD NACIONAL DE TELEVISION ANTV</v>
          </cell>
        </row>
        <row r="100">
          <cell r="A100">
            <v>231700</v>
          </cell>
          <cell r="B100" t="str">
            <v>COMPUTADORES PARA EDUCAR</v>
          </cell>
        </row>
        <row r="101">
          <cell r="A101" t="str">
            <v>240101</v>
          </cell>
          <cell r="B101" t="str">
            <v>MINISTERIO DE TRANSPORTE - GESTION GENERAL</v>
          </cell>
        </row>
        <row r="102">
          <cell r="A102" t="str">
            <v>240106</v>
          </cell>
          <cell r="B102" t="str">
            <v>MINISTERIO DE TRANSPORTE - CORPORACION AUTONOMA REGIONAL DEL RIO GRANDE DE LA MAGDALENA - CORMAGDALENA</v>
          </cell>
        </row>
        <row r="103">
          <cell r="A103" t="str">
            <v>240200</v>
          </cell>
          <cell r="B103" t="str">
            <v>INSTITUTO NACIONAL DE VIAS</v>
          </cell>
        </row>
        <row r="104">
          <cell r="A104" t="str">
            <v>241200</v>
          </cell>
          <cell r="B104" t="str">
            <v>UNIDAD ADMINISTRATIVA ESPECIAL DE LA AERONAUTICA CIVIL</v>
          </cell>
        </row>
        <row r="105">
          <cell r="A105" t="str">
            <v>241300</v>
          </cell>
          <cell r="B105" t="str">
            <v>AGENCIA NACIONAL DE INFRAESTRUCTURA</v>
          </cell>
        </row>
        <row r="106">
          <cell r="A106" t="str">
            <v>241400</v>
          </cell>
          <cell r="B106" t="str">
            <v>UNIDAD DE PLANEACION DEL SECTOR DE INFRAESTRUCTURA DE TRANSPORTE</v>
          </cell>
        </row>
        <row r="107">
          <cell r="A107" t="str">
            <v>241500</v>
          </cell>
          <cell r="B107" t="str">
            <v>COMISION DE REGULACION DE INFRAESTRUCTURA Y TRANSPORTE</v>
          </cell>
        </row>
        <row r="108">
          <cell r="A108" t="str">
            <v>241600</v>
          </cell>
          <cell r="B108" t="str">
            <v>AGENCIA NACIONAL DE SEGURIDAD VIAL</v>
          </cell>
        </row>
        <row r="109">
          <cell r="A109" t="str">
            <v>241700</v>
          </cell>
          <cell r="B109" t="str">
            <v>SUPERINTENDENCIA DE PUERTOS Y TRANSPORTE</v>
          </cell>
        </row>
        <row r="110">
          <cell r="A110" t="str">
            <v>250101</v>
          </cell>
          <cell r="B110" t="str">
            <v>PROCURADURIA GENERAL DE LA NACIÓN - GESTION GENERAL</v>
          </cell>
        </row>
        <row r="111">
          <cell r="A111" t="str">
            <v>250105</v>
          </cell>
          <cell r="B111" t="str">
            <v>MINISTERIO PUBLICO - INSTITUTO DE ESTUDIOS DEL MINISTERIO PUBLICO</v>
          </cell>
        </row>
        <row r="112">
          <cell r="A112" t="str">
            <v>250200</v>
          </cell>
          <cell r="B112" t="str">
            <v>DEFENSORIA DEL PUEBLO</v>
          </cell>
        </row>
        <row r="113">
          <cell r="A113" t="str">
            <v>260101</v>
          </cell>
          <cell r="B113" t="str">
            <v>CONTRALORIA GRAL. REPUBLICA - GESTION GENERAL</v>
          </cell>
        </row>
        <row r="114">
          <cell r="A114" t="str">
            <v>260200</v>
          </cell>
          <cell r="B114" t="str">
            <v>FONDO DE BIENESTAR SOCIAL DE LA CONTRALORIA GENERAL DE LA REPUBLICA</v>
          </cell>
        </row>
        <row r="115">
          <cell r="A115" t="str">
            <v>270102</v>
          </cell>
          <cell r="B115" t="str">
            <v>RAMA JUDICIAL - CONSEJO SUPERIOR DE LA JUDICATURA</v>
          </cell>
        </row>
        <row r="116">
          <cell r="A116" t="str">
            <v>270103</v>
          </cell>
          <cell r="B116" t="str">
            <v>RAMA JUDICIAL - CORTE SUPREMA DE JUSTICIA</v>
          </cell>
        </row>
        <row r="117">
          <cell r="A117" t="str">
            <v>270104</v>
          </cell>
          <cell r="B117" t="str">
            <v>RAMA JUDICIAL - CONSEJO DE ESTADO</v>
          </cell>
        </row>
        <row r="118">
          <cell r="A118" t="str">
            <v>270105</v>
          </cell>
          <cell r="B118" t="str">
            <v>RAMA JUDICIAL - CORTE CONSTITUCIONAL</v>
          </cell>
        </row>
        <row r="119">
          <cell r="A119" t="str">
            <v>270108</v>
          </cell>
          <cell r="B119" t="str">
            <v>RAMA JUDICIAL - TRIBUNALES Y JUZGADOS</v>
          </cell>
        </row>
        <row r="120">
          <cell r="A120" t="str">
            <v>280101</v>
          </cell>
          <cell r="B120" t="str">
            <v>REGISTRADURIA NACIONAL DEL ESTADO CIVIL - GESTION GENERAL</v>
          </cell>
        </row>
        <row r="121">
          <cell r="A121" t="str">
            <v>280102</v>
          </cell>
          <cell r="B121" t="str">
            <v>REGISTRADURIA NACIONAL DEL ESTADO CIVIL - CONSEJO NACIONAL ELECTORAL</v>
          </cell>
        </row>
        <row r="122">
          <cell r="A122" t="str">
            <v>280200</v>
          </cell>
          <cell r="B122" t="str">
            <v>FONDO ROTATORIO DE LA REGISTRADURIA</v>
          </cell>
        </row>
        <row r="123">
          <cell r="A123" t="str">
            <v>280300</v>
          </cell>
          <cell r="B123" t="str">
            <v>FONDO SOCIAL DE VIVIENDA DE LA REGISTRADURIA NACIONAL DEL ESTADO CIVIL</v>
          </cell>
        </row>
        <row r="124">
          <cell r="A124" t="str">
            <v>290101</v>
          </cell>
          <cell r="B124" t="str">
            <v>FISCALIA GENERAL DE LA NACION - GESTION GENERAL</v>
          </cell>
        </row>
        <row r="125">
          <cell r="A125" t="str">
            <v>290200</v>
          </cell>
          <cell r="B125" t="str">
            <v>INSTITUTO NACIONAL DE MEDICINA LEGAL Y CIENCIAS FORENSES</v>
          </cell>
        </row>
        <row r="126">
          <cell r="A126" t="str">
            <v>320101</v>
          </cell>
          <cell r="B126" t="str">
            <v>MINISTERIO DE AMBIENTE Y DESARROLLO SOSTENIBLE - GESTION GENERAL</v>
          </cell>
        </row>
        <row r="127">
          <cell r="A127" t="str">
            <v>320102</v>
          </cell>
          <cell r="B127" t="str">
            <v>PARQUES NACIONALES NATURALES DE COLOMBIA</v>
          </cell>
        </row>
        <row r="128">
          <cell r="A128" t="str">
            <v>320104</v>
          </cell>
          <cell r="B128" t="str">
            <v>AUTORIDAD NACIONAL DE LICENCIAS AMBIENTALES ANLA</v>
          </cell>
        </row>
        <row r="129">
          <cell r="A129" t="str">
            <v>320200</v>
          </cell>
          <cell r="B129" t="str">
            <v>INSTITUTO DE HIDROLOGIA, METEOROLOGIA Y ESTUDIOS AMBIENTALES- IDEAM</v>
          </cell>
        </row>
        <row r="130">
          <cell r="A130" t="str">
            <v>320401</v>
          </cell>
          <cell r="B130" t="str">
            <v>FONAM - GESTION GENERAL</v>
          </cell>
        </row>
        <row r="131">
          <cell r="A131" t="str">
            <v>320800</v>
          </cell>
          <cell r="B131" t="str">
            <v>CORPORACION AUTONOMA REGIONAL DE LOS VALLES DEL SINU Y SAN JORGE (CVS)</v>
          </cell>
        </row>
        <row r="132">
          <cell r="A132" t="str">
            <v>320900</v>
          </cell>
          <cell r="B132" t="str">
            <v>CORPORACION AUTONOMA REGIONAL DEL QUINDIO (CRQ)</v>
          </cell>
        </row>
        <row r="133">
          <cell r="A133" t="str">
            <v>321000</v>
          </cell>
          <cell r="B133" t="str">
            <v>CORPORACION PARA EL DESARROLLO SOSTENIBLE DEL URABA - CORPOURABA</v>
          </cell>
        </row>
        <row r="134">
          <cell r="A134" t="str">
            <v>321100</v>
          </cell>
          <cell r="B134" t="str">
            <v>CORPORACION AUTONOMA REGIONAL DE CALDAS (CORPOCALDAS)</v>
          </cell>
        </row>
        <row r="135">
          <cell r="A135" t="str">
            <v>321200</v>
          </cell>
          <cell r="B135" t="str">
            <v>CORPORACION AUTONOMA REGIONAL PARA EL DESARROLLO SOSTENIBLE DEL CHOCO - CODECHOCO</v>
          </cell>
        </row>
        <row r="136">
          <cell r="A136" t="str">
            <v>321300</v>
          </cell>
          <cell r="B136" t="str">
            <v xml:space="preserve">CORPORACION AUTONOMA REGIONAL PARA LA DEFENSA DE LA MESETA DE BUCARAMANGA CDMB </v>
          </cell>
        </row>
        <row r="137">
          <cell r="A137" t="str">
            <v>321400</v>
          </cell>
          <cell r="B137" t="str">
            <v>CORPORACION AUTONOMA REGIONAL DEL TOLIMA (CORTOLIMA)</v>
          </cell>
        </row>
        <row r="138">
          <cell r="A138" t="str">
            <v>321500</v>
          </cell>
          <cell r="B138" t="str">
            <v>CORPORACION AUTONOMA REGIONAL DE RISARALDA (CARDER)</v>
          </cell>
        </row>
        <row r="139">
          <cell r="A139" t="str">
            <v>321600</v>
          </cell>
          <cell r="B139" t="str">
            <v>CORPORACION AUTONOMA REGIONAL DE NARINO (CORPONARINO)</v>
          </cell>
        </row>
        <row r="140">
          <cell r="A140" t="str">
            <v>321700</v>
          </cell>
          <cell r="B140" t="str">
            <v>CORPORACION AUTONOMA REGIONAL DE LA FRONTERA NORORIENTAL (CORPONOR)</v>
          </cell>
        </row>
        <row r="141">
          <cell r="A141" t="str">
            <v>321800</v>
          </cell>
          <cell r="B141" t="str">
            <v>CORPORACION AUTONOMA REGIONAL DE LA GUAJIRA (CORPOGUAJIRA)</v>
          </cell>
        </row>
        <row r="142">
          <cell r="A142" t="str">
            <v>321900</v>
          </cell>
          <cell r="B142" t="str">
            <v>CORPORACION AUTONOMA REGIONAL DEL CESAR (CORPOCESAR)</v>
          </cell>
        </row>
        <row r="143">
          <cell r="A143" t="str">
            <v>322100</v>
          </cell>
          <cell r="B143" t="str">
            <v>CORPORACION AUTONOMA REGIONAL DEL CAUCA (CRC)</v>
          </cell>
        </row>
        <row r="144">
          <cell r="A144" t="str">
            <v>322200</v>
          </cell>
          <cell r="B144" t="str">
            <v>CORPORACION AUTONOMA REGIONAL DEL MAGDALENA (CORPAMAG)</v>
          </cell>
        </row>
        <row r="145">
          <cell r="A145" t="str">
            <v>322300</v>
          </cell>
          <cell r="B145" t="str">
            <v>CORPORACION PARA EL DESARROLLO SOSTENIBLE DEL SUR DE LA AMAZONIA - CORPOAMAZONIA</v>
          </cell>
        </row>
        <row r="146">
          <cell r="A146" t="str">
            <v>322400</v>
          </cell>
          <cell r="B146" t="str">
            <v>CORPORACION  PARA EL DESARROLLO SOSTENIBLE DEL NORTE Y ORIENTE DE LA AMAZONIA - CDA</v>
          </cell>
        </row>
        <row r="147">
          <cell r="A147" t="str">
            <v>322600</v>
          </cell>
          <cell r="B147" t="str">
            <v>CORPORACION PARA EL DESARROLLO SOSTENIBLE DEL ARCHIPIELAGO DE SAN ANDRES, PROVIDENCIA Y SANTA CATALINA - CORALINA</v>
          </cell>
        </row>
        <row r="148">
          <cell r="A148" t="str">
            <v>322700</v>
          </cell>
          <cell r="B148" t="str">
            <v>CORPORACION PARA EL DESARROLLO SOSTENIBLE DEL AREA DE MANEJO ESPECIAL LA MACARENA - CORMACARENA</v>
          </cell>
        </row>
        <row r="149">
          <cell r="A149" t="str">
            <v>322800</v>
          </cell>
          <cell r="B149" t="str">
            <v>CORPORACION  PARA EL DESARROLLO SOSTENIBLE DE LA MOJANA Y EL SAN JORGE - CORPOMOJANA</v>
          </cell>
        </row>
        <row r="150">
          <cell r="A150" t="str">
            <v>322900</v>
          </cell>
          <cell r="B150" t="str">
            <v>CORPORACION AUTONOMA REGIONAL DE LA ORINOQUIA (CORPORINOQUIA)</v>
          </cell>
        </row>
        <row r="151">
          <cell r="A151" t="str">
            <v>323000</v>
          </cell>
          <cell r="B151" t="str">
            <v>CORPORACION AUTONOMA REGIONAL DE SUCRE (CARSUCRE)</v>
          </cell>
        </row>
        <row r="152">
          <cell r="A152" t="str">
            <v>323100</v>
          </cell>
          <cell r="B152" t="str">
            <v>CORPORACION AUTONOMA REGIONAL DEL ALTO MAGDALENA (CAM)</v>
          </cell>
        </row>
        <row r="153">
          <cell r="A153" t="str">
            <v>323200</v>
          </cell>
          <cell r="B153" t="str">
            <v>CORPORACION AUTONOMA REGIONAL DEL CENTRO DE ANTIOQUIA (CORANTIOQUIA)</v>
          </cell>
        </row>
        <row r="154">
          <cell r="A154" t="str">
            <v>323300</v>
          </cell>
          <cell r="B154" t="str">
            <v>CORPORACION AUTONOMA REGIONAL DEL ATLANTICO - CRA</v>
          </cell>
        </row>
        <row r="155">
          <cell r="A155" t="str">
            <v>323400</v>
          </cell>
          <cell r="B155" t="str">
            <v>CORPORACION AUTONOMA REGIONAL DE SANTANDER (CAS)</v>
          </cell>
        </row>
        <row r="156">
          <cell r="A156" t="str">
            <v>323500</v>
          </cell>
          <cell r="B156" t="str">
            <v>CORPORACION AUTONOMA REGIONAL DE BOYACA (CORPOBOYACA)</v>
          </cell>
        </row>
        <row r="157">
          <cell r="A157" t="str">
            <v>323600</v>
          </cell>
          <cell r="B157" t="str">
            <v>CORPORACION AUTONOMA REGIONAL DE CHIVOR (CORPOCHIVOR)</v>
          </cell>
        </row>
        <row r="158">
          <cell r="A158" t="str">
            <v>323700</v>
          </cell>
          <cell r="B158" t="str">
            <v>CORPORACION AUTONOMA REGIONAL DEL GUAVIO (CORPOGUAVIO)</v>
          </cell>
        </row>
        <row r="159">
          <cell r="A159" t="str">
            <v>323800</v>
          </cell>
          <cell r="B159" t="str">
            <v>CORPORACION AUTONOMA REGIONAL DEL CANAL DEL DIQUE (CARDIQUE)</v>
          </cell>
        </row>
        <row r="160">
          <cell r="A160" t="str">
            <v>323900</v>
          </cell>
          <cell r="B160" t="str">
            <v>CORPORACION AUTONOMA REGIONAL DEL SUR DE BOLIVAR (CSB)</v>
          </cell>
        </row>
        <row r="161">
          <cell r="A161" t="str">
            <v>330101</v>
          </cell>
          <cell r="B161" t="str">
            <v>MINISTERIO DE CULTURA - GESTION GENERAL</v>
          </cell>
        </row>
        <row r="162">
          <cell r="A162" t="str">
            <v>330400</v>
          </cell>
          <cell r="B162" t="str">
            <v>ARCHIVO GENERAL DE LA NACION</v>
          </cell>
        </row>
        <row r="163">
          <cell r="A163" t="str">
            <v>330500</v>
          </cell>
          <cell r="B163" t="str">
            <v>INSTITUTO COLOMBIANO DE ANTROPOLOGIA E HISTORIA</v>
          </cell>
        </row>
        <row r="164">
          <cell r="A164" t="str">
            <v>330700</v>
          </cell>
          <cell r="B164" t="str">
            <v>INSTITUTO CARO Y CUERVO</v>
          </cell>
        </row>
        <row r="165">
          <cell r="A165" t="str">
            <v>340101</v>
          </cell>
          <cell r="B165" t="str">
            <v>AUDITORIA GENERAL DE LA REPUBLICA - GESTION GENERAL</v>
          </cell>
        </row>
        <row r="166">
          <cell r="A166" t="str">
            <v>350101</v>
          </cell>
          <cell r="B166" t="str">
            <v>MINCOMERCIO INDUSTRIA TURISMO - GESTION GENERAL</v>
          </cell>
        </row>
        <row r="167">
          <cell r="A167" t="str">
            <v>350102</v>
          </cell>
          <cell r="B167" t="str">
            <v>MINCOMERCIO INDUSTRIA TURISMO - DIRECCION GENERAL DE COMERCIO EXTERIOR</v>
          </cell>
        </row>
        <row r="168">
          <cell r="A168" t="str">
            <v>350104</v>
          </cell>
          <cell r="B168" t="str">
            <v>MINCOMERCIO INDUSTRIA TURISMO - ARTESANIAS DE COLOMBIA S.A.</v>
          </cell>
        </row>
        <row r="169">
          <cell r="A169" t="str">
            <v>350200</v>
          </cell>
          <cell r="B169" t="str">
            <v>SUPERINTENDENCIA DE SOCIEDADES</v>
          </cell>
        </row>
        <row r="170">
          <cell r="A170" t="str">
            <v>350300</v>
          </cell>
          <cell r="B170" t="str">
            <v>SUPERINTENDENCIA DE INDUSTRIA Y COMERCIO</v>
          </cell>
        </row>
        <row r="171">
          <cell r="A171" t="str">
            <v>350400</v>
          </cell>
          <cell r="B171" t="str">
            <v>UNIDAD ADMINISTRATIVA ESPECIAL JUNTA CENTRAL CONTADORES</v>
          </cell>
        </row>
        <row r="172">
          <cell r="A172" t="str">
            <v>350500</v>
          </cell>
          <cell r="B172" t="str">
            <v>INSTITUTO NACIONAL DE METROLOGÍA - INM</v>
          </cell>
        </row>
        <row r="173">
          <cell r="A173" t="str">
            <v>360101</v>
          </cell>
          <cell r="B173" t="str">
            <v>MINISTERIO DEL TRABAJO - GESTION GENERAL</v>
          </cell>
        </row>
        <row r="174">
          <cell r="A174" t="str">
            <v>360107</v>
          </cell>
          <cell r="B174" t="str">
            <v>MINISTERIO DEL TRABAJO - SUPERINTENDENCIA DE SUBSIDIO FAMILIAR</v>
          </cell>
        </row>
        <row r="175">
          <cell r="A175" t="str">
            <v>360200</v>
          </cell>
          <cell r="B175" t="str">
            <v>SERVICIO NACIONAL DE APRENDIZAJE (SENA)</v>
          </cell>
        </row>
        <row r="176">
          <cell r="A176" t="str">
            <v>361200</v>
          </cell>
          <cell r="B176" t="str">
            <v>UNIDAD ADMINISTRATIVA ESPECIAL DE ORGANIZACIONES SOLIDARIAS</v>
          </cell>
        </row>
        <row r="177">
          <cell r="A177" t="str">
            <v>361300</v>
          </cell>
          <cell r="B177" t="str">
            <v>UNIDAD ADMINISTRATIVA ESPECIAL DEL SERVICIO PUBLICO DE EMPLEO</v>
          </cell>
        </row>
        <row r="178">
          <cell r="A178" t="str">
            <v>370101</v>
          </cell>
          <cell r="B178" t="str">
            <v>MINISTERIO DEL INTERIOR - GESTIÓN GENERAL</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DEPARTAMENTO ADMINISTRATIVO DE LA CIENCIA, TECNOLOGIA E INNOVACION - GESTION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DEPARTAMENTO ADMINISTRATIVO DEL DEPORTE, LA RECREACIÓN, LA ACTIVIDAD FÍSICA Y EL APROVECHAMIENTO DEL TIEMPO LIBRE – COLDEPORTES - GESTIÓN GENERAL</v>
          </cell>
        </row>
        <row r="194">
          <cell r="A194" t="str">
            <v>440102</v>
          </cell>
          <cell r="B194" t="str">
            <v>TRIBUNAL DE PAZ Y LAS SALAS DE JUSTICIA</v>
          </cell>
        </row>
        <row r="195">
          <cell r="A195" t="str">
            <v>440103</v>
          </cell>
          <cell r="B195" t="str">
            <v>UNIDAD DE INVESTIGACIÓN Y ACUSACIÓN</v>
          </cell>
        </row>
        <row r="196">
          <cell r="A196" t="str">
            <v>440104</v>
          </cell>
          <cell r="B196" t="str">
            <v>SECRETARIA EJECUTIVA</v>
          </cell>
        </row>
        <row r="197">
          <cell r="A197" t="str">
            <v>440200</v>
          </cell>
          <cell r="B197" t="str">
            <v>COMISIÓN PARA EL ESCLARECIMIENTO DE LA VERDAD, LA CONVIVENCIA Y LA NO REPETICIÓN</v>
          </cell>
        </row>
        <row r="198">
          <cell r="A198" t="str">
            <v>440300</v>
          </cell>
          <cell r="B198" t="str">
            <v>UNIDAD DE BUSQUEDA DE PERSONAS DADAS POR DESAPARECIDAS EN EL CONTEXTO Y EN RAZÓN DEL CONFLICTO ARMADO UBDP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2A-Cálculo I-F.E"/>
      <sheetName val="DESPLEGABLES"/>
    </sheetNames>
    <sheetDataSet>
      <sheetData sheetId="0" refreshError="1"/>
      <sheetData sheetId="1" refreshError="1">
        <row r="2">
          <cell r="A2" t="str">
            <v>010101</v>
          </cell>
          <cell r="B2" t="str">
            <v>CONGRESO DE LA REPUBLICA  SENADO GESTION GENERAL</v>
          </cell>
        </row>
        <row r="3">
          <cell r="A3" t="str">
            <v>010102</v>
          </cell>
          <cell r="B3" t="str">
            <v>CONGRESO DE LA REPUBLICA - CAMARA DE REPRESENTANTES - GESTION GENERAL</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COLOMBIANA PARA LA REINTEGRACIÓN DE PERSONAS Y GRUPOS ALZADOS EN ARMAS</v>
          </cell>
        </row>
        <row r="8">
          <cell r="A8" t="str">
            <v>021300</v>
          </cell>
          <cell r="B8" t="str">
            <v>AGENCIA NACIONAL INMOBILIARIA VIRGILIO BARCO VARGAS</v>
          </cell>
        </row>
        <row r="9">
          <cell r="A9" t="str">
            <v>021400</v>
          </cell>
          <cell r="B9" t="str">
            <v>AGENCIA DE RENOVACION DEL TERRITORIO – ART</v>
          </cell>
        </row>
        <row r="10">
          <cell r="A10" t="str">
            <v>030101</v>
          </cell>
          <cell r="B10" t="str">
            <v>DEPARTAMENTO DE PLANEACION - GESTION GENERAL</v>
          </cell>
        </row>
        <row r="11">
          <cell r="A11" t="str">
            <v>030300</v>
          </cell>
          <cell r="B11" t="str">
            <v>UNIDAD ADMINISTRATIVA ESPECIAL - AGENCIA NACIONAL DE CONTRATACIÓN PÚBLICA - COLOMBIA COMPRA EFICIENTE.</v>
          </cell>
        </row>
        <row r="12">
          <cell r="A12" t="str">
            <v>032400</v>
          </cell>
          <cell r="B12" t="str">
            <v>SUPERINTENDENCIA DE SERVICIOS PUBLICOS DOMICILIARIOS</v>
          </cell>
        </row>
        <row r="13">
          <cell r="A13" t="str">
            <v>032500</v>
          </cell>
          <cell r="B13" t="str">
            <v>FONDO NACIONAL DE REGALIAS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FUNCION PUBLICA - GESTION GENERAL</v>
          </cell>
        </row>
        <row r="18">
          <cell r="A18" t="str">
            <v>050300</v>
          </cell>
          <cell r="B18" t="str">
            <v>ESCUELA SUPERIOR DE ADMINISTRACION PUBLICA (ESAP)</v>
          </cell>
        </row>
        <row r="19">
          <cell r="A19" t="str">
            <v>110101</v>
          </cell>
          <cell r="B19" t="str">
            <v>MINIRELACIONES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MINISTERIO DE DEFENSA NACIONAL - COMANDO GENERAL</v>
          </cell>
        </row>
        <row r="41">
          <cell r="A41" t="str">
            <v>150103</v>
          </cell>
          <cell r="B41" t="str">
            <v>MINISTERIO DE DEFENSA NACIONAL - EJERCITO</v>
          </cell>
        </row>
        <row r="42">
          <cell r="A42" t="str">
            <v>150104</v>
          </cell>
          <cell r="B42" t="str">
            <v>MINISTERIO DE DEFENSA NACIONAL - ARMADA</v>
          </cell>
        </row>
        <row r="43">
          <cell r="A43" t="str">
            <v>150105</v>
          </cell>
          <cell r="B43" t="str">
            <v>MINISTERIO DE DEFENSA NACIONAL - FUERZA AEREA</v>
          </cell>
        </row>
        <row r="44">
          <cell r="A44" t="str">
            <v>150111</v>
          </cell>
          <cell r="B44" t="str">
            <v>MINISTERIO DE DEFENSA NACIONAL - SALUD</v>
          </cell>
        </row>
        <row r="45">
          <cell r="A45" t="str">
            <v>150112</v>
          </cell>
          <cell r="B45" t="str">
            <v>MINISTERIO DE DEFENSA NACIONAL - DIRECCION GENERAL MARITIMA - DIMAR</v>
          </cell>
        </row>
        <row r="46">
          <cell r="A46" t="str">
            <v>150113</v>
          </cell>
          <cell r="B46" t="str">
            <v>MINISTERIO DE DEFENSA NACIONAL 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160101</v>
          </cell>
          <cell r="B56" t="str">
            <v>POLICIA NACIONAL - GESTION GENERAL</v>
          </cell>
        </row>
        <row r="57">
          <cell r="A57" t="str">
            <v>160102</v>
          </cell>
          <cell r="B57" t="str">
            <v>POLICIA NACIONAL - SALUD</v>
          </cell>
        </row>
        <row r="58">
          <cell r="A58" t="str">
            <v>170101</v>
          </cell>
          <cell r="B58" t="str">
            <v>MINAGRICULTURA - GESTION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PROTECCION SOCIAL - GESTIÓN GENERAL</v>
          </cell>
        </row>
        <row r="66">
          <cell r="A66" t="str">
            <v>190106</v>
          </cell>
          <cell r="B66" t="str">
            <v>MINISTERIO  DE SALUD Y PROTECCION SOCIAL - UNIDAD ADMINISTRATIVA ESPECIAL FONDO NACIONAL DE ESTUPEFACIENTES</v>
          </cell>
        </row>
        <row r="67">
          <cell r="A67" t="str">
            <v>190109</v>
          </cell>
          <cell r="B67" t="str">
            <v xml:space="preserve">MINISTERIO  DE SALUD Y PROTECCION SOCIAL - INSTITUTO NACIONAL DE CANCEROLOGIA </v>
          </cell>
        </row>
        <row r="68">
          <cell r="A68" t="str">
            <v>190110</v>
          </cell>
          <cell r="B68" t="str">
            <v>MINISTERIO  DE SALUD Y PROTECCION SOCIAL - SANATORIO DE CONTRATACION</v>
          </cell>
        </row>
        <row r="69">
          <cell r="A69" t="str">
            <v>190111</v>
          </cell>
          <cell r="B69" t="str">
            <v>MINISTERIO  DE SALUD Y PROTECCION SOCIAL - SANATORIO DE AGUA DE DIOS</v>
          </cell>
        </row>
        <row r="70">
          <cell r="A70" t="str">
            <v>190112</v>
          </cell>
          <cell r="B70" t="str">
            <v>MINISTERIO  DE SALUD Y PROTECCION SOCIAL - CENTRO DERMATOLOGICO FEDERICO LLERAS ACOSTA</v>
          </cell>
        </row>
        <row r="71">
          <cell r="A71" t="str">
            <v>190114</v>
          </cell>
          <cell r="B71" t="str">
            <v>DIRECCIÓN DE ADMINISTRACIÓN DE FONDOS DE LA PROTECCIÓN SOCIAL</v>
          </cell>
        </row>
        <row r="72">
          <cell r="A72" t="str">
            <v>190115</v>
          </cell>
          <cell r="B72" t="str">
            <v>ADMINISTRADORA DE LOS RECURSOS DEL SISTEMA GENERAL DE SEGURIDAD SOCIAL EN SALUD - SGSSS - ADRES</v>
          </cell>
        </row>
        <row r="73">
          <cell r="A73" t="str">
            <v>190300</v>
          </cell>
          <cell r="B73" t="str">
            <v>INSTITUTO NACIONAL DE SALUD (INS)</v>
          </cell>
        </row>
        <row r="74">
          <cell r="A74" t="str">
            <v>191000</v>
          </cell>
          <cell r="B74" t="str">
            <v>SUPERINTENDENCIA NACIONAL DE SALUD</v>
          </cell>
        </row>
        <row r="75">
          <cell r="A75" t="str">
            <v>191200</v>
          </cell>
          <cell r="B75" t="str">
            <v>INSTITUTO NACIONAL DE VIGILANCIA DE MEDICAMENTOS Y ALIMENTOS - INVIMA</v>
          </cell>
        </row>
        <row r="76">
          <cell r="A76" t="str">
            <v>191301</v>
          </cell>
          <cell r="B76" t="str">
            <v>FONDO DE PREVISION SOCIAL DEL CONGRESO - PENSIONES</v>
          </cell>
        </row>
        <row r="77">
          <cell r="A77" t="str">
            <v>191302</v>
          </cell>
          <cell r="B77" t="str">
            <v>FONDO DE PREVISION SOCIAL DEL CONGRESO - CESANTIAS Y VIVIENDA</v>
          </cell>
        </row>
        <row r="78">
          <cell r="A78" t="str">
            <v>191401</v>
          </cell>
          <cell r="B78" t="str">
            <v xml:space="preserve">FONDO PASIVO SOCIAL DE FERROCARRILES NACIONALES DE COLOMBIA - SALUD </v>
          </cell>
        </row>
        <row r="79">
          <cell r="A79" t="str">
            <v>191402</v>
          </cell>
          <cell r="B79" t="str">
            <v>FONDO PASIVO SOCIAL DE FERROCARRILES NACIONALES DE COLOMBIA -PENSIONES</v>
          </cell>
        </row>
        <row r="80">
          <cell r="A80" t="str">
            <v>210101</v>
          </cell>
          <cell r="B80" t="str">
            <v>MINISTERIO DE MINAS Y ENERGIA - GESTION GENERAL</v>
          </cell>
        </row>
        <row r="81">
          <cell r="A81" t="str">
            <v>210113</v>
          </cell>
          <cell r="B81" t="str">
            <v>MINISTERIO DE MINAS Y ENERGIA - COMISION DE REGULACION DE ENERGIA Y GAS - CREG -</v>
          </cell>
        </row>
        <row r="82">
          <cell r="A82" t="str">
            <v>210300</v>
          </cell>
          <cell r="B82" t="str">
            <v>SERVICIO GEOLÓGICO COLOMBIANO</v>
          </cell>
        </row>
        <row r="83">
          <cell r="A83" t="str">
            <v>210900</v>
          </cell>
          <cell r="B83" t="str">
            <v>UNIDAD DE PLANEACION MINERO ENERGETICA - UPME</v>
          </cell>
        </row>
        <row r="84">
          <cell r="A84" t="str">
            <v>211000</v>
          </cell>
          <cell r="B84" t="str">
            <v>INSTITUTO DE PLANIFICACION Y PROMOCION DE SOLUCIONES  ENERGETICAS PARA LAS ZONAS NO INTERCONECTADAS -IPSE-</v>
          </cell>
        </row>
        <row r="85">
          <cell r="A85" t="str">
            <v>211100</v>
          </cell>
          <cell r="B85" t="str">
            <v>AGENCIA NACIONAL DE HIDROCARBUROS - ANH</v>
          </cell>
        </row>
        <row r="86">
          <cell r="A86" t="str">
            <v>211200</v>
          </cell>
          <cell r="B86" t="str">
            <v>AGENCIA NACIONAL DE MINERÍA - ANM</v>
          </cell>
        </row>
        <row r="87">
          <cell r="A87" t="str">
            <v>220101</v>
          </cell>
          <cell r="B87" t="str">
            <v>MINISTERIO EDUCACION NACIONAL - GESTION GENERAL</v>
          </cell>
        </row>
        <row r="88">
          <cell r="A88" t="str">
            <v>220900</v>
          </cell>
          <cell r="B88" t="str">
            <v>INSTITUTO NACIONAL PARA SORDOS (INSOR)</v>
          </cell>
        </row>
        <row r="89">
          <cell r="A89" t="str">
            <v>221000</v>
          </cell>
          <cell r="B89" t="str">
            <v>INSTITUTO NACIONAL PARA CIEGOS (INCI)</v>
          </cell>
        </row>
        <row r="90">
          <cell r="A90" t="str">
            <v>223400</v>
          </cell>
          <cell r="B90" t="str">
            <v>ESCUELA TECNOLOGICA INSTITUTO TECNICO CENTRAL</v>
          </cell>
        </row>
        <row r="91">
          <cell r="A91" t="str">
            <v>223800</v>
          </cell>
          <cell r="B91" t="str">
            <v>INSTITUTO NACIONAL DE FORMACION TECNICA PROFESIONAL DE SAN ANDRES Y PROVIDENCIA</v>
          </cell>
        </row>
        <row r="92">
          <cell r="A92" t="str">
            <v>223900</v>
          </cell>
          <cell r="B92" t="str">
            <v>INSTITUTO NACIONAL DE FORMACION TECNICA PROFESIONAL DE SAN JUAN DEL CESAR</v>
          </cell>
        </row>
        <row r="93">
          <cell r="A93" t="str">
            <v>224100</v>
          </cell>
          <cell r="B93" t="str">
            <v>INSTITUTO TOLIMENSE DE FORMACION TECNICA PROFESIONAL</v>
          </cell>
        </row>
        <row r="94">
          <cell r="A94" t="str">
            <v>224200</v>
          </cell>
          <cell r="B94" t="str">
            <v>INSTITUTO TECNICO NACIONAL DE COMERCIO SIMON RODRIGUEZ DE CALI</v>
          </cell>
        </row>
        <row r="95">
          <cell r="A95" t="str">
            <v>230101</v>
          </cell>
          <cell r="B95" t="str">
            <v>MINISTERIO DE TECNOLOGIAS DE LA INFORMACION Y LAS COMUNICACIONES - GESTION GENERAL</v>
          </cell>
        </row>
        <row r="96">
          <cell r="A96" t="str">
            <v>230103</v>
          </cell>
          <cell r="B96" t="str">
            <v>MINISTERIO DE TECNOLOGIAS DE LA INFORMACION Y LAS COMUNICACIONES - UNIDAD ADMINISTRATIVA ESPECIAL COMISION DE REGULACION DE COMUNICACIONES</v>
          </cell>
        </row>
        <row r="97">
          <cell r="A97" t="str">
            <v>230600</v>
          </cell>
          <cell r="B97" t="str">
            <v>FONDO DE TECNOLOGIAS DE LA INFORMACION Y LAS COMUNICACIONES</v>
          </cell>
        </row>
        <row r="98">
          <cell r="A98" t="str">
            <v>230900</v>
          </cell>
          <cell r="B98" t="str">
            <v>AGENCIA NACIONAL DEL ESPECTRO - ANE</v>
          </cell>
        </row>
        <row r="99">
          <cell r="A99" t="str">
            <v>231000</v>
          </cell>
          <cell r="B99" t="str">
            <v>AUTORIDAD NACIONAL DE TELEVISION ANTV</v>
          </cell>
        </row>
        <row r="100">
          <cell r="A100">
            <v>231700</v>
          </cell>
          <cell r="B100" t="str">
            <v>COMPUTADORES PARA EDUCAR</v>
          </cell>
        </row>
        <row r="101">
          <cell r="A101" t="str">
            <v>240101</v>
          </cell>
          <cell r="B101" t="str">
            <v>MINISTERIO DE TRANSPORTE - GESTION GENERAL</v>
          </cell>
        </row>
        <row r="102">
          <cell r="A102" t="str">
            <v>240106</v>
          </cell>
          <cell r="B102" t="str">
            <v>MINISTERIO DE TRANSPORTE - CORPORACION AUTONOMA REGIONAL DEL RIO GRANDE DE LA MAGDALENA - CORMAGDALENA</v>
          </cell>
        </row>
        <row r="103">
          <cell r="A103" t="str">
            <v>240200</v>
          </cell>
          <cell r="B103" t="str">
            <v>INSTITUTO NACIONAL DE VIAS</v>
          </cell>
        </row>
        <row r="104">
          <cell r="A104" t="str">
            <v>241200</v>
          </cell>
          <cell r="B104" t="str">
            <v>UNIDAD ADMINISTRATIVA ESPECIAL DE LA AERONAUTICA CIVIL</v>
          </cell>
        </row>
        <row r="105">
          <cell r="A105" t="str">
            <v>241300</v>
          </cell>
          <cell r="B105" t="str">
            <v>AGENCIA NACIONAL DE INFRAESTRUCTURA</v>
          </cell>
        </row>
        <row r="106">
          <cell r="A106" t="str">
            <v>241400</v>
          </cell>
          <cell r="B106" t="str">
            <v>UNIDAD DE PLANEACION DEL SECTOR DE INFRAESTRUCTURA DE TRANSPORTE</v>
          </cell>
        </row>
        <row r="107">
          <cell r="A107" t="str">
            <v>241500</v>
          </cell>
          <cell r="B107" t="str">
            <v>COMISION DE REGULACION DE INFRAESTRUCTURA Y TRANSPORTE</v>
          </cell>
        </row>
        <row r="108">
          <cell r="A108" t="str">
            <v>241600</v>
          </cell>
          <cell r="B108" t="str">
            <v>AGENCIA NACIONAL DE SEGURIDAD VIAL</v>
          </cell>
        </row>
        <row r="109">
          <cell r="A109" t="str">
            <v>241700</v>
          </cell>
          <cell r="B109" t="str">
            <v>SUPERINTENDENCIA DE PUERTOS Y TRANSPORTE</v>
          </cell>
        </row>
        <row r="110">
          <cell r="A110" t="str">
            <v>250101</v>
          </cell>
          <cell r="B110" t="str">
            <v>PROCURADURIA GENERAL DE LA NACIÓN - GESTION GENERAL</v>
          </cell>
        </row>
        <row r="111">
          <cell r="A111" t="str">
            <v>250105</v>
          </cell>
          <cell r="B111" t="str">
            <v>MINISTERIO PUBLICO - INSTITUTO DE ESTUDIOS DEL MINISTERIO PUBLICO</v>
          </cell>
        </row>
        <row r="112">
          <cell r="A112" t="str">
            <v>250200</v>
          </cell>
          <cell r="B112" t="str">
            <v>DEFENSORIA DEL PUEBLO</v>
          </cell>
        </row>
        <row r="113">
          <cell r="A113" t="str">
            <v>260101</v>
          </cell>
          <cell r="B113" t="str">
            <v>CONTRALORIA GRAL. REPUBLICA - GESTION GENERAL</v>
          </cell>
        </row>
        <row r="114">
          <cell r="A114" t="str">
            <v>260200</v>
          </cell>
          <cell r="B114" t="str">
            <v>FONDO DE BIENESTAR SOCIAL DE LA CONTRALORIA GENERAL DE LA REPUBLICA</v>
          </cell>
        </row>
        <row r="115">
          <cell r="A115" t="str">
            <v>270102</v>
          </cell>
          <cell r="B115" t="str">
            <v>RAMA JUDICIAL - CONSEJO SUPERIOR DE LA JUDICATURA</v>
          </cell>
        </row>
        <row r="116">
          <cell r="A116" t="str">
            <v>270103</v>
          </cell>
          <cell r="B116" t="str">
            <v>RAMA JUDICIAL - CORTE SUPREMA DE JUSTICIA</v>
          </cell>
        </row>
        <row r="117">
          <cell r="A117" t="str">
            <v>270104</v>
          </cell>
          <cell r="B117" t="str">
            <v>RAMA JUDICIAL - CONSEJO DE ESTADO</v>
          </cell>
        </row>
        <row r="118">
          <cell r="A118" t="str">
            <v>270105</v>
          </cell>
          <cell r="B118" t="str">
            <v>RAMA JUDICIAL - CORTE CONSTITUCIONAL</v>
          </cell>
        </row>
        <row r="119">
          <cell r="A119" t="str">
            <v>270108</v>
          </cell>
          <cell r="B119" t="str">
            <v>RAMA JUDICIAL - TRIBUNALES Y JUZGADOS</v>
          </cell>
        </row>
        <row r="120">
          <cell r="A120" t="str">
            <v>280101</v>
          </cell>
          <cell r="B120" t="str">
            <v>REGISTRADURIA NACIONAL DEL ESTADO CIVIL - GESTION GENERAL</v>
          </cell>
        </row>
        <row r="121">
          <cell r="A121" t="str">
            <v>280102</v>
          </cell>
          <cell r="B121" t="str">
            <v>REGISTRADURIA NACIONAL DEL ESTADO CIVIL - CONSEJO NACIONAL ELECTORAL</v>
          </cell>
        </row>
        <row r="122">
          <cell r="A122" t="str">
            <v>280200</v>
          </cell>
          <cell r="B122" t="str">
            <v>FONDO ROTATORIO DE LA REGISTRADURIA</v>
          </cell>
        </row>
        <row r="123">
          <cell r="A123" t="str">
            <v>280300</v>
          </cell>
          <cell r="B123" t="str">
            <v>FONDO SOCIAL DE VIVIENDA DE LA REGISTRADURIA NACIONAL DEL ESTADO CIVIL</v>
          </cell>
        </row>
        <row r="124">
          <cell r="A124" t="str">
            <v>290101</v>
          </cell>
          <cell r="B124" t="str">
            <v>FISCALIA GENERAL DE LA NACION - GESTION GENERAL</v>
          </cell>
        </row>
        <row r="125">
          <cell r="A125" t="str">
            <v>290200</v>
          </cell>
          <cell r="B125" t="str">
            <v>INSTITUTO NACIONAL DE MEDICINA LEGAL Y CIENCIAS FORENSES</v>
          </cell>
        </row>
        <row r="126">
          <cell r="A126" t="str">
            <v>320101</v>
          </cell>
          <cell r="B126" t="str">
            <v>MINISTERIO DE AMBIENTE Y DESARROLLO SOSTENIBLE - GESTION GENERAL</v>
          </cell>
        </row>
        <row r="127">
          <cell r="A127" t="str">
            <v>320102</v>
          </cell>
          <cell r="B127" t="str">
            <v>PARQUES NACIONALES NATURALES DE COLOMBIA</v>
          </cell>
        </row>
        <row r="128">
          <cell r="A128" t="str">
            <v>320104</v>
          </cell>
          <cell r="B128" t="str">
            <v>AUTORIDAD NACIONAL DE LICENCIAS AMBIENTALES ANLA</v>
          </cell>
        </row>
        <row r="129">
          <cell r="A129" t="str">
            <v>320200</v>
          </cell>
          <cell r="B129" t="str">
            <v>INSTITUTO DE HIDROLOGIA, METEOROLOGIA Y ESTUDIOS AMBIENTALES- IDEAM</v>
          </cell>
        </row>
        <row r="130">
          <cell r="A130" t="str">
            <v>320401</v>
          </cell>
          <cell r="B130" t="str">
            <v>FONAM - GESTION GENERAL</v>
          </cell>
        </row>
        <row r="131">
          <cell r="A131" t="str">
            <v>320800</v>
          </cell>
          <cell r="B131" t="str">
            <v>CORPORACION AUTONOMA REGIONAL DE LOS VALLES DEL SINU Y SAN JORGE (CVS)</v>
          </cell>
        </row>
        <row r="132">
          <cell r="A132" t="str">
            <v>320900</v>
          </cell>
          <cell r="B132" t="str">
            <v>CORPORACION AUTONOMA REGIONAL DEL QUINDIO (CRQ)</v>
          </cell>
        </row>
        <row r="133">
          <cell r="A133" t="str">
            <v>321000</v>
          </cell>
          <cell r="B133" t="str">
            <v>CORPORACION PARA EL DESARROLLO SOSTENIBLE DEL URABA - CORPOURABA</v>
          </cell>
        </row>
        <row r="134">
          <cell r="A134" t="str">
            <v>321100</v>
          </cell>
          <cell r="B134" t="str">
            <v>CORPORACION AUTONOMA REGIONAL DE CALDAS (CORPOCALDAS)</v>
          </cell>
        </row>
        <row r="135">
          <cell r="A135" t="str">
            <v>321200</v>
          </cell>
          <cell r="B135" t="str">
            <v>CORPORACION AUTONOMA REGIONAL PARA EL DESARROLLO SOSTENIBLE DEL CHOCO - CODECHOCO</v>
          </cell>
        </row>
        <row r="136">
          <cell r="A136" t="str">
            <v>321300</v>
          </cell>
          <cell r="B136" t="str">
            <v xml:space="preserve">CORPORACION AUTONOMA REGIONAL PARA LA DEFENSA DE LA MESETA DE BUCARAMANGA CDMB </v>
          </cell>
        </row>
        <row r="137">
          <cell r="A137" t="str">
            <v>321400</v>
          </cell>
          <cell r="B137" t="str">
            <v>CORPORACION AUTONOMA REGIONAL DEL TOLIMA (CORTOLIMA)</v>
          </cell>
        </row>
        <row r="138">
          <cell r="A138" t="str">
            <v>321500</v>
          </cell>
          <cell r="B138" t="str">
            <v>CORPORACION AUTONOMA REGIONAL DE RISARALDA (CARDER)</v>
          </cell>
        </row>
        <row r="139">
          <cell r="A139" t="str">
            <v>321600</v>
          </cell>
          <cell r="B139" t="str">
            <v>CORPORACION AUTONOMA REGIONAL DE NARINO (CORPONARINO)</v>
          </cell>
        </row>
        <row r="140">
          <cell r="A140" t="str">
            <v>321700</v>
          </cell>
          <cell r="B140" t="str">
            <v>CORPORACION AUTONOMA REGIONAL DE LA FRONTERA NORORIENTAL (CORPONOR)</v>
          </cell>
        </row>
        <row r="141">
          <cell r="A141" t="str">
            <v>321800</v>
          </cell>
          <cell r="B141" t="str">
            <v>CORPORACION AUTONOMA REGIONAL DE LA GUAJIRA (CORPOGUAJIRA)</v>
          </cell>
        </row>
        <row r="142">
          <cell r="A142" t="str">
            <v>321900</v>
          </cell>
          <cell r="B142" t="str">
            <v>CORPORACION AUTONOMA REGIONAL DEL CESAR (CORPOCESAR)</v>
          </cell>
        </row>
        <row r="143">
          <cell r="A143" t="str">
            <v>322100</v>
          </cell>
          <cell r="B143" t="str">
            <v>CORPORACION AUTONOMA REGIONAL DEL CAUCA (CRC)</v>
          </cell>
        </row>
        <row r="144">
          <cell r="A144" t="str">
            <v>322200</v>
          </cell>
          <cell r="B144" t="str">
            <v>CORPORACION AUTONOMA REGIONAL DEL MAGDALENA (CORPAMAG)</v>
          </cell>
        </row>
        <row r="145">
          <cell r="A145" t="str">
            <v>322300</v>
          </cell>
          <cell r="B145" t="str">
            <v>CORPORACION PARA EL DESARROLLO SOSTENIBLE DEL SUR DE LA AMAZONIA - CORPOAMAZONIA</v>
          </cell>
        </row>
        <row r="146">
          <cell r="A146" t="str">
            <v>322400</v>
          </cell>
          <cell r="B146" t="str">
            <v>CORPORACION  PARA EL DESARROLLO SOSTENIBLE DEL NORTE Y ORIENTE DE LA AMAZONIA - CDA</v>
          </cell>
        </row>
        <row r="147">
          <cell r="A147" t="str">
            <v>322600</v>
          </cell>
          <cell r="B147" t="str">
            <v>CORPORACION PARA EL DESARROLLO SOSTENIBLE DEL ARCHIPIELAGO DE SAN ANDRES, PROVIDENCIA Y SANTA CATALINA - CORALINA</v>
          </cell>
        </row>
        <row r="148">
          <cell r="A148" t="str">
            <v>322700</v>
          </cell>
          <cell r="B148" t="str">
            <v>CORPORACION PARA EL DESARROLLO SOSTENIBLE DEL AREA DE MANEJO ESPECIAL LA MACARENA - CORMACARENA</v>
          </cell>
        </row>
        <row r="149">
          <cell r="A149" t="str">
            <v>322800</v>
          </cell>
          <cell r="B149" t="str">
            <v>CORPORACION  PARA EL DESARROLLO SOSTENIBLE DE LA MOJANA Y EL SAN JORGE - CORPOMOJANA</v>
          </cell>
        </row>
        <row r="150">
          <cell r="A150" t="str">
            <v>322900</v>
          </cell>
          <cell r="B150" t="str">
            <v>CORPORACION AUTONOMA REGIONAL DE LA ORINOQUIA (CORPORINOQUIA)</v>
          </cell>
        </row>
        <row r="151">
          <cell r="A151" t="str">
            <v>323000</v>
          </cell>
          <cell r="B151" t="str">
            <v>CORPORACION AUTONOMA REGIONAL DE SUCRE (CARSUCRE)</v>
          </cell>
        </row>
        <row r="152">
          <cell r="A152" t="str">
            <v>323100</v>
          </cell>
          <cell r="B152" t="str">
            <v>CORPORACION AUTONOMA REGIONAL DEL ALTO MAGDALENA (CAM)</v>
          </cell>
        </row>
        <row r="153">
          <cell r="A153" t="str">
            <v>323200</v>
          </cell>
          <cell r="B153" t="str">
            <v>CORPORACION AUTONOMA REGIONAL DEL CENTRO DE ANTIOQUIA (CORANTIOQUIA)</v>
          </cell>
        </row>
        <row r="154">
          <cell r="A154" t="str">
            <v>323300</v>
          </cell>
          <cell r="B154" t="str">
            <v>CORPORACION AUTONOMA REGIONAL DEL ATLANTICO - CRA</v>
          </cell>
        </row>
        <row r="155">
          <cell r="A155" t="str">
            <v>323400</v>
          </cell>
          <cell r="B155" t="str">
            <v>CORPORACION AUTONOMA REGIONAL DE SANTANDER (CAS)</v>
          </cell>
        </row>
        <row r="156">
          <cell r="A156" t="str">
            <v>323500</v>
          </cell>
          <cell r="B156" t="str">
            <v>CORPORACION AUTONOMA REGIONAL DE BOYACA (CORPOBOYACA)</v>
          </cell>
        </row>
        <row r="157">
          <cell r="A157" t="str">
            <v>323600</v>
          </cell>
          <cell r="B157" t="str">
            <v>CORPORACION AUTONOMA REGIONAL DE CHIVOR (CORPOCHIVOR)</v>
          </cell>
        </row>
        <row r="158">
          <cell r="A158" t="str">
            <v>323700</v>
          </cell>
          <cell r="B158" t="str">
            <v>CORPORACION AUTONOMA REGIONAL DEL GUAVIO (CORPOGUAVIO)</v>
          </cell>
        </row>
        <row r="159">
          <cell r="A159" t="str">
            <v>323800</v>
          </cell>
          <cell r="B159" t="str">
            <v>CORPORACION AUTONOMA REGIONAL DEL CANAL DEL DIQUE (CARDIQUE)</v>
          </cell>
        </row>
        <row r="160">
          <cell r="A160" t="str">
            <v>323900</v>
          </cell>
          <cell r="B160" t="str">
            <v>CORPORACION AUTONOMA REGIONAL DEL SUR DE BOLIVAR (CSB)</v>
          </cell>
        </row>
        <row r="161">
          <cell r="A161" t="str">
            <v>330101</v>
          </cell>
          <cell r="B161" t="str">
            <v>MINISTERIO DE CULTURA - GESTION GENERAL</v>
          </cell>
        </row>
        <row r="162">
          <cell r="A162" t="str">
            <v>330400</v>
          </cell>
          <cell r="B162" t="str">
            <v>ARCHIVO GENERAL DE LA NACION</v>
          </cell>
        </row>
        <row r="163">
          <cell r="A163" t="str">
            <v>330500</v>
          </cell>
          <cell r="B163" t="str">
            <v>INSTITUTO COLOMBIANO DE ANTROPOLOGIA E HISTORIA</v>
          </cell>
        </row>
        <row r="164">
          <cell r="A164" t="str">
            <v>330700</v>
          </cell>
          <cell r="B164" t="str">
            <v>INSTITUTO CARO Y CUERVO</v>
          </cell>
        </row>
        <row r="165">
          <cell r="A165" t="str">
            <v>340101</v>
          </cell>
          <cell r="B165" t="str">
            <v>AUDITORIA GENERAL DE LA REPUBLICA - GESTION GENERAL</v>
          </cell>
        </row>
        <row r="166">
          <cell r="A166" t="str">
            <v>350101</v>
          </cell>
          <cell r="B166" t="str">
            <v>MINCOMERCIO INDUSTRIA TURISMO - GESTION GENERAL</v>
          </cell>
        </row>
        <row r="167">
          <cell r="A167" t="str">
            <v>350102</v>
          </cell>
          <cell r="B167" t="str">
            <v>MINCOMERCIO INDUSTRIA TURISMO - DIRECCION GENERAL DE COMERCIO EXTERIOR</v>
          </cell>
        </row>
        <row r="168">
          <cell r="A168" t="str">
            <v>350104</v>
          </cell>
          <cell r="B168" t="str">
            <v>MINCOMERCIO INDUSTRIA TURISMO - ARTESANIAS DE COLOMBIA S.A.</v>
          </cell>
        </row>
        <row r="169">
          <cell r="A169" t="str">
            <v>350200</v>
          </cell>
          <cell r="B169" t="str">
            <v>SUPERINTENDENCIA DE SOCIEDADES</v>
          </cell>
        </row>
        <row r="170">
          <cell r="A170" t="str">
            <v>350300</v>
          </cell>
          <cell r="B170" t="str">
            <v>SUPERINTENDENCIA DE INDUSTRIA Y COMERCIO</v>
          </cell>
        </row>
        <row r="171">
          <cell r="A171" t="str">
            <v>350400</v>
          </cell>
          <cell r="B171" t="str">
            <v>UNIDAD ADMINISTRATIVA ESPECIAL JUNTA CENTRAL CONTADORES</v>
          </cell>
        </row>
        <row r="172">
          <cell r="A172" t="str">
            <v>350500</v>
          </cell>
          <cell r="B172" t="str">
            <v>INSTITUTO NACIONAL DE METROLOGÍA - INM</v>
          </cell>
        </row>
        <row r="173">
          <cell r="A173" t="str">
            <v>360101</v>
          </cell>
          <cell r="B173" t="str">
            <v>MINISTERIO DEL TRABAJO - GESTION GENERAL</v>
          </cell>
        </row>
        <row r="174">
          <cell r="A174" t="str">
            <v>360107</v>
          </cell>
          <cell r="B174" t="str">
            <v>MINISTERIO DEL TRABAJO - SUPERINTENDENCIA DE SUBSIDIO FAMILIAR</v>
          </cell>
        </row>
        <row r="175">
          <cell r="A175" t="str">
            <v>360200</v>
          </cell>
          <cell r="B175" t="str">
            <v>SERVICIO NACIONAL DE APRENDIZAJE (SENA)</v>
          </cell>
        </row>
        <row r="176">
          <cell r="A176" t="str">
            <v>361200</v>
          </cell>
          <cell r="B176" t="str">
            <v>UNIDAD ADMINISTRATIVA ESPECIAL DE ORGANIZACIONES SOLIDARIAS</v>
          </cell>
        </row>
        <row r="177">
          <cell r="A177" t="str">
            <v>361300</v>
          </cell>
          <cell r="B177" t="str">
            <v>UNIDAD ADMINISTRATIVA ESPECIAL DEL SERVICIO PUBLICO DE EMPLEO</v>
          </cell>
        </row>
        <row r="178">
          <cell r="A178" t="str">
            <v>370101</v>
          </cell>
          <cell r="B178" t="str">
            <v>MINISTERIO DEL INTERIOR - GESTIÓN GENERAL</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DEPARTAMENTO ADMINISTRATIVO DE LA CIENCIA, TECNOLOGIA E INNOVACION - GESTION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DEPARTAMENTO ADMINISTRATIVO DEL DEPORTE, LA RECREACIÓN, LA ACTIVIDAD FÍSICA Y EL APROVECHAMIENTO DEL TIEMPO LIBRE – COLDEPORTES - GESTIÓN GENERAL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4- Planta"/>
      <sheetName val="Formulario 4A - Nómina"/>
      <sheetName val="DESPLEGABLES"/>
    </sheetNames>
    <sheetDataSet>
      <sheetData sheetId="0"/>
      <sheetData sheetId="1"/>
      <sheetData sheetId="2">
        <row r="1">
          <cell r="A1" t="str">
            <v xml:space="preserve">SECCIÓN </v>
          </cell>
          <cell r="B1" t="str">
            <v xml:space="preserve">UNIDAD EJECUTORA </v>
          </cell>
        </row>
        <row r="2">
          <cell r="A2" t="str">
            <v>010101</v>
          </cell>
          <cell r="B2" t="str">
            <v>CONGRESO DE LA REPUBLICA  SENADO GESTION GENERAL</v>
          </cell>
        </row>
        <row r="3">
          <cell r="A3" t="str">
            <v>010102</v>
          </cell>
          <cell r="B3" t="str">
            <v>CONGRESO DE LA REPUBLICA - CAMARA DE REPRESENTANTES - GESTION GENERAL</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COLOMBIANA PARA LA REINTEGRACIÓN DE PERSONAS Y GRUPOS ALZADOS EN ARMAS</v>
          </cell>
        </row>
        <row r="8">
          <cell r="A8" t="str">
            <v>021300</v>
          </cell>
          <cell r="B8" t="str">
            <v>AGENCIA NACIONAL INMOBILIARIA VIRGILIO BARCO VARGAS</v>
          </cell>
        </row>
        <row r="9">
          <cell r="A9" t="str">
            <v>021400</v>
          </cell>
          <cell r="B9" t="str">
            <v>AGENCIA DE RENOVACION DEL TERRITORIO – ART</v>
          </cell>
        </row>
        <row r="10">
          <cell r="A10" t="str">
            <v>030101</v>
          </cell>
          <cell r="B10" t="str">
            <v>DEPARTAMENTO DE PLANEACION - GESTION GENERAL</v>
          </cell>
        </row>
        <row r="11">
          <cell r="A11" t="str">
            <v>030300</v>
          </cell>
          <cell r="B11" t="str">
            <v>UNIDAD ADMINISTRATIVA ESPECIAL - AGENCIA NACIONAL DE CONTRATACIÓN PÚBLICA - COLOMBIA COMPRA EFICIENTE.</v>
          </cell>
        </row>
        <row r="12">
          <cell r="A12" t="str">
            <v>032400</v>
          </cell>
          <cell r="B12" t="str">
            <v>SUPERINTENDENCIA DE SERVICIOS PUBLICOS DOMICILIARIOS</v>
          </cell>
        </row>
        <row r="13">
          <cell r="A13" t="str">
            <v>032500</v>
          </cell>
          <cell r="B13" t="str">
            <v>FONDO NACIONAL DE REGALIAS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FUNCION PUBLICA - GESTION GENERAL</v>
          </cell>
        </row>
        <row r="18">
          <cell r="A18" t="str">
            <v>050300</v>
          </cell>
          <cell r="B18" t="str">
            <v>ESCUELA SUPERIOR DE ADMINISTRACION PUBLICA (ESAP)</v>
          </cell>
        </row>
        <row r="19">
          <cell r="A19" t="str">
            <v>110101</v>
          </cell>
          <cell r="B19" t="str">
            <v>MINIRELACIONES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MINISTERIO DE DEFENSA NACIONAL - COMANDO GENERAL</v>
          </cell>
        </row>
        <row r="41">
          <cell r="A41" t="str">
            <v>150103</v>
          </cell>
          <cell r="B41" t="str">
            <v>MINISTERIO DE DEFENSA NACIONAL - EJERCITO</v>
          </cell>
        </row>
        <row r="42">
          <cell r="A42" t="str">
            <v>150104</v>
          </cell>
          <cell r="B42" t="str">
            <v>MINISTERIO DE DEFENSA NACIONAL - ARMADA</v>
          </cell>
        </row>
        <row r="43">
          <cell r="A43" t="str">
            <v>150105</v>
          </cell>
          <cell r="B43" t="str">
            <v>MINISTERIO DE DEFENSA NACIONAL - FUERZA AEREA</v>
          </cell>
        </row>
        <row r="44">
          <cell r="A44" t="str">
            <v>150111</v>
          </cell>
          <cell r="B44" t="str">
            <v>MINISTERIO DE DEFENSA NACIONAL - SALUD</v>
          </cell>
        </row>
        <row r="45">
          <cell r="A45" t="str">
            <v>150112</v>
          </cell>
          <cell r="B45" t="str">
            <v>MINISTERIO DE DEFENSA NACIONAL - DIRECCION GENERAL MARITIMA - DIMAR</v>
          </cell>
        </row>
        <row r="46">
          <cell r="A46" t="str">
            <v>150113</v>
          </cell>
          <cell r="B46" t="str">
            <v>MINISTERIO DE DEFENSA NACIONAL 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160101</v>
          </cell>
          <cell r="B56" t="str">
            <v>POLICIA NACIONAL - GESTION GENERAL</v>
          </cell>
        </row>
        <row r="57">
          <cell r="A57" t="str">
            <v>160102</v>
          </cell>
          <cell r="B57" t="str">
            <v>POLICIA NACIONAL - SALUD</v>
          </cell>
        </row>
        <row r="58">
          <cell r="A58" t="str">
            <v>170101</v>
          </cell>
          <cell r="B58" t="str">
            <v>MINAGRICULTURA - GESTION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PROTECCION SOCIAL - GESTIÓN GENERAL</v>
          </cell>
        </row>
        <row r="66">
          <cell r="A66" t="str">
            <v>190106</v>
          </cell>
          <cell r="B66" t="str">
            <v>MINISTERIO  DE SALUD Y PROTECCION SOCIAL - UNIDAD ADMINISTRATIVA ESPECIAL FONDO NACIONAL DE ESTUPEFACIENTES</v>
          </cell>
        </row>
        <row r="67">
          <cell r="A67" t="str">
            <v>190109</v>
          </cell>
          <cell r="B67" t="str">
            <v xml:space="preserve">MINISTERIO  DE SALUD Y PROTECCION SOCIAL - INSTITUTO NACIONAL DE CANCEROLOGIA </v>
          </cell>
        </row>
        <row r="68">
          <cell r="A68" t="str">
            <v>190110</v>
          </cell>
          <cell r="B68" t="str">
            <v>MINISTERIO  DE SALUD Y PROTECCION SOCIAL - SANATORIO DE CONTRATACION</v>
          </cell>
        </row>
        <row r="69">
          <cell r="A69" t="str">
            <v>190111</v>
          </cell>
          <cell r="B69" t="str">
            <v>MINISTERIO  DE SALUD Y PROTECCION SOCIAL - SANATORIO DE AGUA DE DIOS</v>
          </cell>
        </row>
        <row r="70">
          <cell r="A70" t="str">
            <v>190112</v>
          </cell>
          <cell r="B70" t="str">
            <v>MINISTERIO  DE SALUD Y PROTECCION SOCIAL - CENTRO DERMATOLOGICO FEDERICO LLERAS ACOSTA</v>
          </cell>
        </row>
        <row r="71">
          <cell r="A71" t="str">
            <v>190114</v>
          </cell>
          <cell r="B71" t="str">
            <v>DIRECCIÓN DE ADMINISTRACIÓN DE FONDOS DE LA PROTECCIÓN SOCIAL</v>
          </cell>
        </row>
        <row r="72">
          <cell r="A72" t="str">
            <v>190115</v>
          </cell>
          <cell r="B72" t="str">
            <v>ADMINISTRADORA DE LOS RECURSOS DEL SISTEMA GENERAL DE SEGURIDAD SOCIAL EN SALUD - SGSSS - ADRES</v>
          </cell>
        </row>
        <row r="73">
          <cell r="A73" t="str">
            <v>190300</v>
          </cell>
          <cell r="B73" t="str">
            <v>INSTITUTO NACIONAL DE SALUD (INS)</v>
          </cell>
        </row>
        <row r="74">
          <cell r="A74" t="str">
            <v>191000</v>
          </cell>
          <cell r="B74" t="str">
            <v>SUPERINTENDENCIA NACIONAL DE SALUD</v>
          </cell>
        </row>
        <row r="75">
          <cell r="A75" t="str">
            <v>191200</v>
          </cell>
          <cell r="B75" t="str">
            <v>INSTITUTO NACIONAL DE VIGILANCIA DE MEDICAMENTOS Y ALIMENTOS - INVIMA</v>
          </cell>
        </row>
        <row r="76">
          <cell r="A76" t="str">
            <v>191301</v>
          </cell>
          <cell r="B76" t="str">
            <v>FONDO DE PREVISION SOCIAL DEL CONGRESO - PENSIONES</v>
          </cell>
        </row>
        <row r="77">
          <cell r="A77" t="str">
            <v>191302</v>
          </cell>
          <cell r="B77" t="str">
            <v>FONDO DE PREVISION SOCIAL DEL CONGRESO - CESANTIAS Y VIVIENDA</v>
          </cell>
        </row>
        <row r="78">
          <cell r="A78" t="str">
            <v>191401</v>
          </cell>
          <cell r="B78" t="str">
            <v xml:space="preserve">FONDO PASIVO SOCIAL DE FERROCARRILES NACIONALES DE COLOMBIA - SALUD </v>
          </cell>
        </row>
        <row r="79">
          <cell r="A79" t="str">
            <v>191402</v>
          </cell>
          <cell r="B79" t="str">
            <v>FONDO PASIVO SOCIAL DE FERROCARRILES NACIONALES DE COLOMBIA -PENSIONES</v>
          </cell>
        </row>
        <row r="80">
          <cell r="A80" t="str">
            <v>210101</v>
          </cell>
          <cell r="B80" t="str">
            <v>MINISTERIO DE MINAS Y ENERGIA - GESTION GENERAL</v>
          </cell>
        </row>
        <row r="81">
          <cell r="A81" t="str">
            <v>210113</v>
          </cell>
          <cell r="B81" t="str">
            <v>MINISTERIO DE MINAS Y ENERGIA - COMISION DE REGULACION DE ENERGIA Y GAS - CREG -</v>
          </cell>
        </row>
        <row r="82">
          <cell r="A82" t="str">
            <v>210300</v>
          </cell>
          <cell r="B82" t="str">
            <v>SERVICIO GEOLÓGICO COLOMBIANO</v>
          </cell>
        </row>
        <row r="83">
          <cell r="A83" t="str">
            <v>210900</v>
          </cell>
          <cell r="B83" t="str">
            <v>UNIDAD DE PLANEACION MINERO ENERGETICA - UPME</v>
          </cell>
        </row>
        <row r="84">
          <cell r="A84" t="str">
            <v>211000</v>
          </cell>
          <cell r="B84" t="str">
            <v>INSTITUTO DE PLANIFICACION Y PROMOCION DE SOLUCIONES  ENERGETICAS PARA LAS ZONAS NO INTERCONECTADAS -IPSE-</v>
          </cell>
        </row>
        <row r="85">
          <cell r="A85" t="str">
            <v>211100</v>
          </cell>
          <cell r="B85" t="str">
            <v>AGENCIA NACIONAL DE HIDROCARBUROS - ANH</v>
          </cell>
        </row>
        <row r="86">
          <cell r="A86" t="str">
            <v>211200</v>
          </cell>
          <cell r="B86" t="str">
            <v>AGENCIA NACIONAL DE MINERÍA - ANM</v>
          </cell>
        </row>
        <row r="87">
          <cell r="A87" t="str">
            <v>220101</v>
          </cell>
          <cell r="B87" t="str">
            <v>MINISTERIO EDUCACION NACIONAL - GESTION GENERAL</v>
          </cell>
        </row>
        <row r="88">
          <cell r="A88" t="str">
            <v>220900</v>
          </cell>
          <cell r="B88" t="str">
            <v>INSTITUTO NACIONAL PARA SORDOS (INSOR)</v>
          </cell>
        </row>
        <row r="89">
          <cell r="A89" t="str">
            <v>221000</v>
          </cell>
          <cell r="B89" t="str">
            <v>INSTITUTO NACIONAL PARA CIEGOS (INCI)</v>
          </cell>
        </row>
        <row r="90">
          <cell r="A90" t="str">
            <v>223400</v>
          </cell>
          <cell r="B90" t="str">
            <v>ESCUELA TECNOLOGICA INSTITUTO TECNICO CENTRAL</v>
          </cell>
        </row>
        <row r="91">
          <cell r="A91" t="str">
            <v>223800</v>
          </cell>
          <cell r="B91" t="str">
            <v>INSTITUTO NACIONAL DE FORMACION TECNICA PROFESIONAL DE SAN ANDRES Y PROVIDENCIA</v>
          </cell>
        </row>
        <row r="92">
          <cell r="A92" t="str">
            <v>223900</v>
          </cell>
          <cell r="B92" t="str">
            <v>INSTITUTO NACIONAL DE FORMACION TECNICA PROFESIONAL DE SAN JUAN DEL CESAR</v>
          </cell>
        </row>
        <row r="93">
          <cell r="A93" t="str">
            <v>224100</v>
          </cell>
          <cell r="B93" t="str">
            <v>INSTITUTO TOLIMENSE DE FORMACION TECNICA PROFESIONAL</v>
          </cell>
        </row>
        <row r="94">
          <cell r="A94" t="str">
            <v>224200</v>
          </cell>
          <cell r="B94" t="str">
            <v>INSTITUTO TECNICO NACIONAL DE COMERCIO SIMON RODRIGUEZ DE CALI</v>
          </cell>
        </row>
        <row r="95">
          <cell r="A95" t="str">
            <v>230101</v>
          </cell>
          <cell r="B95" t="str">
            <v>MINISTERIO DE TECNOLOGIAS DE LA INFORMACION Y LAS COMUNICACIONES - GESTION GENERAL</v>
          </cell>
        </row>
        <row r="96">
          <cell r="A96" t="str">
            <v>230103</v>
          </cell>
          <cell r="B96" t="str">
            <v>MINISTERIO DE TECNOLOGIAS DE LA INFORMACION Y LAS COMUNICACIONES - UNIDAD ADMINISTRATIVA ESPECIAL COMISION DE REGULACION DE COMUNICACIONES</v>
          </cell>
        </row>
        <row r="97">
          <cell r="A97" t="str">
            <v>230600</v>
          </cell>
          <cell r="B97" t="str">
            <v>FONDO DE TECNOLOGIAS DE LA INFORMACION Y LAS COMUNICACIONES</v>
          </cell>
        </row>
        <row r="98">
          <cell r="A98" t="str">
            <v>230900</v>
          </cell>
          <cell r="B98" t="str">
            <v>AGENCIA NACIONAL DEL ESPECTRO - ANE</v>
          </cell>
        </row>
        <row r="99">
          <cell r="A99" t="str">
            <v>231000</v>
          </cell>
          <cell r="B99" t="str">
            <v>AUTORIDAD NACIONAL DE TELEVISION ANTV</v>
          </cell>
        </row>
        <row r="100">
          <cell r="A100">
            <v>231700</v>
          </cell>
          <cell r="B100" t="str">
            <v>COMPUTADORES PARA EDUCAR</v>
          </cell>
        </row>
        <row r="101">
          <cell r="A101" t="str">
            <v>240101</v>
          </cell>
          <cell r="B101" t="str">
            <v>MINISTERIO DE TRANSPORTE - GESTION GENERAL</v>
          </cell>
        </row>
        <row r="102">
          <cell r="A102" t="str">
            <v>240106</v>
          </cell>
          <cell r="B102" t="str">
            <v>MINISTERIO DE TRANSPORTE - CORPORACION AUTONOMA REGIONAL DEL RIO GRANDE DE LA MAGDALENA - CORMAGDALENA</v>
          </cell>
        </row>
        <row r="103">
          <cell r="A103" t="str">
            <v>240200</v>
          </cell>
          <cell r="B103" t="str">
            <v>INSTITUTO NACIONAL DE VIAS</v>
          </cell>
        </row>
        <row r="104">
          <cell r="A104" t="str">
            <v>241200</v>
          </cell>
          <cell r="B104" t="str">
            <v>UNIDAD ADMINISTRATIVA ESPECIAL DE LA AERONAUTICA CIVIL</v>
          </cell>
        </row>
        <row r="105">
          <cell r="A105" t="str">
            <v>241300</v>
          </cell>
          <cell r="B105" t="str">
            <v>AGENCIA NACIONAL DE INFRAESTRUCTURA</v>
          </cell>
        </row>
        <row r="106">
          <cell r="A106" t="str">
            <v>241400</v>
          </cell>
          <cell r="B106" t="str">
            <v>UNIDAD DE PLANEACION DEL SECTOR DE INFRAESTRUCTURA DE TRANSPORTE</v>
          </cell>
        </row>
        <row r="107">
          <cell r="A107" t="str">
            <v>241500</v>
          </cell>
          <cell r="B107" t="str">
            <v>COMISION DE REGULACION DE INFRAESTRUCTURA Y TRANSPORTE</v>
          </cell>
        </row>
        <row r="108">
          <cell r="A108" t="str">
            <v>241600</v>
          </cell>
          <cell r="B108" t="str">
            <v>AGENCIA NACIONAL DE SEGURIDAD VIAL</v>
          </cell>
        </row>
        <row r="109">
          <cell r="A109" t="str">
            <v>241700</v>
          </cell>
          <cell r="B109" t="str">
            <v>SUPERINTENDENCIA DE PUERTOS Y TRANSPORTE</v>
          </cell>
        </row>
        <row r="110">
          <cell r="A110" t="str">
            <v>250101</v>
          </cell>
          <cell r="B110" t="str">
            <v>PROCURADURIA GENERAL DE LA NACIÓN - GESTION GENERAL</v>
          </cell>
        </row>
        <row r="111">
          <cell r="A111" t="str">
            <v>250105</v>
          </cell>
          <cell r="B111" t="str">
            <v>MINISTERIO PUBLICO - INSTITUTO DE ESTUDIOS DEL MINISTERIO PUBLICO</v>
          </cell>
        </row>
        <row r="112">
          <cell r="A112" t="str">
            <v>250200</v>
          </cell>
          <cell r="B112" t="str">
            <v>DEFENSORIA DEL PUEBLO</v>
          </cell>
        </row>
        <row r="113">
          <cell r="A113" t="str">
            <v>260101</v>
          </cell>
          <cell r="B113" t="str">
            <v>CONTRALORIA GRAL. REPUBLICA - GESTION GENERAL</v>
          </cell>
        </row>
        <row r="114">
          <cell r="A114" t="str">
            <v>260200</v>
          </cell>
          <cell r="B114" t="str">
            <v>FONDO DE BIENESTAR SOCIAL DE LA CONTRALORIA GENERAL DE LA REPUBLICA</v>
          </cell>
        </row>
        <row r="115">
          <cell r="A115" t="str">
            <v>270102</v>
          </cell>
          <cell r="B115" t="str">
            <v>RAMA JUDICIAL - CONSEJO SUPERIOR DE LA JUDICATURA</v>
          </cell>
        </row>
        <row r="116">
          <cell r="A116" t="str">
            <v>270103</v>
          </cell>
          <cell r="B116" t="str">
            <v>RAMA JUDICIAL - CORTE SUPREMA DE JUSTICIA</v>
          </cell>
        </row>
        <row r="117">
          <cell r="A117" t="str">
            <v>270104</v>
          </cell>
          <cell r="B117" t="str">
            <v>RAMA JUDICIAL - CONSEJO DE ESTADO</v>
          </cell>
        </row>
        <row r="118">
          <cell r="A118" t="str">
            <v>270105</v>
          </cell>
          <cell r="B118" t="str">
            <v>RAMA JUDICIAL - CORTE CONSTITUCIONAL</v>
          </cell>
        </row>
        <row r="119">
          <cell r="A119" t="str">
            <v>270108</v>
          </cell>
          <cell r="B119" t="str">
            <v>RAMA JUDICIAL - TRIBUNALES Y JUZGADOS</v>
          </cell>
        </row>
        <row r="120">
          <cell r="A120" t="str">
            <v>280101</v>
          </cell>
          <cell r="B120" t="str">
            <v>REGISTRADURIA NACIONAL DEL ESTADO CIVIL - GESTION GENERAL</v>
          </cell>
        </row>
        <row r="121">
          <cell r="A121" t="str">
            <v>280102</v>
          </cell>
          <cell r="B121" t="str">
            <v>REGISTRADURIA NACIONAL DEL ESTADO CIVIL - CONSEJO NACIONAL ELECTORAL</v>
          </cell>
        </row>
        <row r="122">
          <cell r="A122" t="str">
            <v>280200</v>
          </cell>
          <cell r="B122" t="str">
            <v>FONDO ROTATORIO DE LA REGISTRADURIA</v>
          </cell>
        </row>
        <row r="123">
          <cell r="A123" t="str">
            <v>280300</v>
          </cell>
          <cell r="B123" t="str">
            <v>FONDO SOCIAL DE VIVIENDA DE LA REGISTRADURIA NACIONAL DEL ESTADO CIVIL</v>
          </cell>
        </row>
        <row r="124">
          <cell r="A124" t="str">
            <v>290101</v>
          </cell>
          <cell r="B124" t="str">
            <v>FISCALIA GENERAL DE LA NACION - GESTION GENERAL</v>
          </cell>
        </row>
        <row r="125">
          <cell r="A125" t="str">
            <v>290200</v>
          </cell>
          <cell r="B125" t="str">
            <v>INSTITUTO NACIONAL DE MEDICINA LEGAL Y CIENCIAS FORENSES</v>
          </cell>
        </row>
        <row r="126">
          <cell r="A126" t="str">
            <v>320101</v>
          </cell>
          <cell r="B126" t="str">
            <v>MINISTERIO DE AMBIENTE Y DESARROLLO SOSTENIBLE - GESTION GENERAL</v>
          </cell>
        </row>
        <row r="127">
          <cell r="A127" t="str">
            <v>320102</v>
          </cell>
          <cell r="B127" t="str">
            <v>PARQUES NACIONALES NATURALES DE COLOMBIA</v>
          </cell>
        </row>
        <row r="128">
          <cell r="A128" t="str">
            <v>320104</v>
          </cell>
          <cell r="B128" t="str">
            <v>AUTORIDAD NACIONAL DE LICENCIAS AMBIENTALES ANLA</v>
          </cell>
        </row>
        <row r="129">
          <cell r="A129" t="str">
            <v>320200</v>
          </cell>
          <cell r="B129" t="str">
            <v>INSTITUTO DE HIDROLOGIA, METEOROLOGIA Y ESTUDIOS AMBIENTALES- IDEAM</v>
          </cell>
        </row>
        <row r="130">
          <cell r="A130" t="str">
            <v>320401</v>
          </cell>
          <cell r="B130" t="str">
            <v>FONAM - GESTION GENERAL</v>
          </cell>
        </row>
        <row r="131">
          <cell r="A131" t="str">
            <v>320800</v>
          </cell>
          <cell r="B131" t="str">
            <v>CORPORACION AUTONOMA REGIONAL DE LOS VALLES DEL SINU Y SAN JORGE (CVS)</v>
          </cell>
        </row>
        <row r="132">
          <cell r="A132" t="str">
            <v>320900</v>
          </cell>
          <cell r="B132" t="str">
            <v>CORPORACION AUTONOMA REGIONAL DEL QUINDIO (CRQ)</v>
          </cell>
        </row>
        <row r="133">
          <cell r="A133" t="str">
            <v>321000</v>
          </cell>
          <cell r="B133" t="str">
            <v>CORPORACION PARA EL DESARROLLO SOSTENIBLE DEL URABA - CORPOURABA</v>
          </cell>
        </row>
        <row r="134">
          <cell r="A134" t="str">
            <v>321100</v>
          </cell>
          <cell r="B134" t="str">
            <v>CORPORACION AUTONOMA REGIONAL DE CALDAS (CORPOCALDAS)</v>
          </cell>
        </row>
        <row r="135">
          <cell r="A135" t="str">
            <v>321200</v>
          </cell>
          <cell r="B135" t="str">
            <v>CORPORACION AUTONOMA REGIONAL PARA EL DESARROLLO SOSTENIBLE DEL CHOCO - CODECHOCO</v>
          </cell>
        </row>
        <row r="136">
          <cell r="A136" t="str">
            <v>321300</v>
          </cell>
          <cell r="B136" t="str">
            <v xml:space="preserve">CORPORACION AUTONOMA REGIONAL PARA LA DEFENSA DE LA MESETA DE BUCARAMANGA CDMB </v>
          </cell>
        </row>
        <row r="137">
          <cell r="A137" t="str">
            <v>321400</v>
          </cell>
          <cell r="B137" t="str">
            <v>CORPORACION AUTONOMA REGIONAL DEL TOLIMA (CORTOLIMA)</v>
          </cell>
        </row>
        <row r="138">
          <cell r="A138" t="str">
            <v>321500</v>
          </cell>
          <cell r="B138" t="str">
            <v>CORPORACION AUTONOMA REGIONAL DE RISARALDA (CARDER)</v>
          </cell>
        </row>
        <row r="139">
          <cell r="A139" t="str">
            <v>321600</v>
          </cell>
          <cell r="B139" t="str">
            <v>CORPORACION AUTONOMA REGIONAL DE NARINO (CORPONARINO)</v>
          </cell>
        </row>
        <row r="140">
          <cell r="A140" t="str">
            <v>321700</v>
          </cell>
          <cell r="B140" t="str">
            <v>CORPORACION AUTONOMA REGIONAL DE LA FRONTERA NORORIENTAL (CORPONOR)</v>
          </cell>
        </row>
        <row r="141">
          <cell r="A141" t="str">
            <v>321800</v>
          </cell>
          <cell r="B141" t="str">
            <v>CORPORACION AUTONOMA REGIONAL DE LA GUAJIRA (CORPOGUAJIRA)</v>
          </cell>
        </row>
        <row r="142">
          <cell r="A142" t="str">
            <v>321900</v>
          </cell>
          <cell r="B142" t="str">
            <v>CORPORACION AUTONOMA REGIONAL DEL CESAR (CORPOCESAR)</v>
          </cell>
        </row>
        <row r="143">
          <cell r="A143" t="str">
            <v>322100</v>
          </cell>
          <cell r="B143" t="str">
            <v>CORPORACION AUTONOMA REGIONAL DEL CAUCA (CRC)</v>
          </cell>
        </row>
        <row r="144">
          <cell r="A144" t="str">
            <v>322200</v>
          </cell>
          <cell r="B144" t="str">
            <v>CORPORACION AUTONOMA REGIONAL DEL MAGDALENA (CORPAMAG)</v>
          </cell>
        </row>
        <row r="145">
          <cell r="A145" t="str">
            <v>322300</v>
          </cell>
          <cell r="B145" t="str">
            <v>CORPORACION PARA EL DESARROLLO SOSTENIBLE DEL SUR DE LA AMAZONIA - CORPOAMAZONIA</v>
          </cell>
        </row>
        <row r="146">
          <cell r="A146" t="str">
            <v>322400</v>
          </cell>
          <cell r="B146" t="str">
            <v>CORPORACION  PARA EL DESARROLLO SOSTENIBLE DEL NORTE Y ORIENTE DE LA AMAZONIA - CDA</v>
          </cell>
        </row>
        <row r="147">
          <cell r="A147" t="str">
            <v>322600</v>
          </cell>
          <cell r="B147" t="str">
            <v>CORPORACION PARA EL DESARROLLO SOSTENIBLE DEL ARCHIPIELAGO DE SAN ANDRES, PROVIDENCIA Y SANTA CATALINA - CORALINA</v>
          </cell>
        </row>
        <row r="148">
          <cell r="A148" t="str">
            <v>322700</v>
          </cell>
          <cell r="B148" t="str">
            <v>CORPORACION PARA EL DESARROLLO SOSTENIBLE DEL AREA DE MANEJO ESPECIAL LA MACARENA - CORMACARENA</v>
          </cell>
        </row>
        <row r="149">
          <cell r="A149" t="str">
            <v>322800</v>
          </cell>
          <cell r="B149" t="str">
            <v>CORPORACION  PARA EL DESARROLLO SOSTENIBLE DE LA MOJANA Y EL SAN JORGE - CORPOMOJANA</v>
          </cell>
        </row>
        <row r="150">
          <cell r="A150" t="str">
            <v>322900</v>
          </cell>
          <cell r="B150" t="str">
            <v>CORPORACION AUTONOMA REGIONAL DE LA ORINOQUIA (CORPORINOQUIA)</v>
          </cell>
        </row>
        <row r="151">
          <cell r="A151" t="str">
            <v>323000</v>
          </cell>
          <cell r="B151" t="str">
            <v>CORPORACION AUTONOMA REGIONAL DE SUCRE (CARSUCRE)</v>
          </cell>
        </row>
        <row r="152">
          <cell r="A152" t="str">
            <v>323100</v>
          </cell>
          <cell r="B152" t="str">
            <v>CORPORACION AUTONOMA REGIONAL DEL ALTO MAGDALENA (CAM)</v>
          </cell>
        </row>
        <row r="153">
          <cell r="A153" t="str">
            <v>323200</v>
          </cell>
          <cell r="B153" t="str">
            <v>CORPORACION AUTONOMA REGIONAL DEL CENTRO DE ANTIOQUIA (CORANTIOQUIA)</v>
          </cell>
        </row>
        <row r="154">
          <cell r="A154" t="str">
            <v>323300</v>
          </cell>
          <cell r="B154" t="str">
            <v>CORPORACION AUTONOMA REGIONAL DEL ATLANTICO - CRA</v>
          </cell>
        </row>
        <row r="155">
          <cell r="A155" t="str">
            <v>323400</v>
          </cell>
          <cell r="B155" t="str">
            <v>CORPORACION AUTONOMA REGIONAL DE SANTANDER (CAS)</v>
          </cell>
        </row>
        <row r="156">
          <cell r="A156" t="str">
            <v>323500</v>
          </cell>
          <cell r="B156" t="str">
            <v>CORPORACION AUTONOMA REGIONAL DE BOYACA (CORPOBOYACA)</v>
          </cell>
        </row>
        <row r="157">
          <cell r="A157" t="str">
            <v>323600</v>
          </cell>
          <cell r="B157" t="str">
            <v>CORPORACION AUTONOMA REGIONAL DE CHIVOR (CORPOCHIVOR)</v>
          </cell>
        </row>
        <row r="158">
          <cell r="A158" t="str">
            <v>323700</v>
          </cell>
          <cell r="B158" t="str">
            <v>CORPORACION AUTONOMA REGIONAL DEL GUAVIO (CORPOGUAVIO)</v>
          </cell>
        </row>
        <row r="159">
          <cell r="A159" t="str">
            <v>323800</v>
          </cell>
          <cell r="B159" t="str">
            <v>CORPORACION AUTONOMA REGIONAL DEL CANAL DEL DIQUE (CARDIQUE)</v>
          </cell>
        </row>
        <row r="160">
          <cell r="A160" t="str">
            <v>323900</v>
          </cell>
          <cell r="B160" t="str">
            <v>CORPORACION AUTONOMA REGIONAL DEL SUR DE BOLIVAR (CSB)</v>
          </cell>
        </row>
        <row r="161">
          <cell r="A161" t="str">
            <v>330101</v>
          </cell>
          <cell r="B161" t="str">
            <v>MINISTERIO DE CULTURA - GESTION GENERAL</v>
          </cell>
        </row>
        <row r="162">
          <cell r="A162" t="str">
            <v>330400</v>
          </cell>
          <cell r="B162" t="str">
            <v>ARCHIVO GENERAL DE LA NACION</v>
          </cell>
        </row>
        <row r="163">
          <cell r="A163" t="str">
            <v>330500</v>
          </cell>
          <cell r="B163" t="str">
            <v>INSTITUTO COLOMBIANO DE ANTROPOLOGIA E HISTORIA</v>
          </cell>
        </row>
        <row r="164">
          <cell r="A164" t="str">
            <v>330700</v>
          </cell>
          <cell r="B164" t="str">
            <v>INSTITUTO CARO Y CUERVO</v>
          </cell>
        </row>
        <row r="165">
          <cell r="A165" t="str">
            <v>340101</v>
          </cell>
          <cell r="B165" t="str">
            <v>AUDITORIA GENERAL DE LA REPUBLICA - GESTION GENERAL</v>
          </cell>
        </row>
        <row r="166">
          <cell r="A166" t="str">
            <v>350101</v>
          </cell>
          <cell r="B166" t="str">
            <v>MINCOMERCIO INDUSTRIA TURISMO - GESTION GENERAL</v>
          </cell>
        </row>
        <row r="167">
          <cell r="A167" t="str">
            <v>350102</v>
          </cell>
          <cell r="B167" t="str">
            <v>MINCOMERCIO INDUSTRIA TURISMO - DIRECCION GENERAL DE COMERCIO EXTERIOR</v>
          </cell>
        </row>
        <row r="168">
          <cell r="A168" t="str">
            <v>350104</v>
          </cell>
          <cell r="B168" t="str">
            <v>MINCOMERCIO INDUSTRIA TURISMO - ARTESANIAS DE COLOMBIA S.A.</v>
          </cell>
        </row>
        <row r="169">
          <cell r="A169" t="str">
            <v>350200</v>
          </cell>
          <cell r="B169" t="str">
            <v>SUPERINTENDENCIA DE SOCIEDADES</v>
          </cell>
        </row>
        <row r="170">
          <cell r="A170" t="str">
            <v>350300</v>
          </cell>
          <cell r="B170" t="str">
            <v>SUPERINTENDENCIA DE INDUSTRIA Y COMERCIO</v>
          </cell>
        </row>
        <row r="171">
          <cell r="A171" t="str">
            <v>350400</v>
          </cell>
          <cell r="B171" t="str">
            <v>UNIDAD ADMINISTRATIVA ESPECIAL JUNTA CENTRAL CONTADORES</v>
          </cell>
        </row>
        <row r="172">
          <cell r="A172" t="str">
            <v>350500</v>
          </cell>
          <cell r="B172" t="str">
            <v>INSTITUTO NACIONAL DE METROLOGÍA - INM</v>
          </cell>
        </row>
        <row r="173">
          <cell r="A173" t="str">
            <v>360101</v>
          </cell>
          <cell r="B173" t="str">
            <v>MINISTERIO DEL TRABAJO - GESTION GENERAL</v>
          </cell>
        </row>
        <row r="174">
          <cell r="A174" t="str">
            <v>360107</v>
          </cell>
          <cell r="B174" t="str">
            <v>MINISTERIO DEL TRABAJO - SUPERINTENDENCIA DE SUBSIDIO FAMILIAR</v>
          </cell>
        </row>
        <row r="175">
          <cell r="A175" t="str">
            <v>360200</v>
          </cell>
          <cell r="B175" t="str">
            <v>SERVICIO NACIONAL DE APRENDIZAJE (SENA)</v>
          </cell>
        </row>
        <row r="176">
          <cell r="A176" t="str">
            <v>361200</v>
          </cell>
          <cell r="B176" t="str">
            <v>UNIDAD ADMINISTRATIVA ESPECIAL DE ORGANIZACIONES SOLIDARIAS</v>
          </cell>
        </row>
        <row r="177">
          <cell r="A177" t="str">
            <v>361300</v>
          </cell>
          <cell r="B177" t="str">
            <v>UNIDAD ADMINISTRATIVA ESPECIAL DEL SERVICIO PUBLICO DE EMPLEO</v>
          </cell>
        </row>
        <row r="178">
          <cell r="A178" t="str">
            <v>370101</v>
          </cell>
          <cell r="B178" t="str">
            <v>MINISTERIO DEL INTERIOR - GESTIÓN GENERAL</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DEPARTAMENTO ADMINISTRATIVO DE LA CIENCIA, TECNOLOGIA E INNOVACION - GESTION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DEPARTAMENTO ADMINISTRATIVO DEL DEPORTE, LA RECREACIÓN, LA ACTIVIDAD FÍSICA Y EL APROVECHAMIENTO DEL TIEMPO LIBRE – COLDEPORTES - GESTIÓN GENERAL</v>
          </cell>
        </row>
        <row r="194">
          <cell r="A194" t="str">
            <v>440102</v>
          </cell>
          <cell r="B194" t="str">
            <v>TRIBUNAL DE PAZ Y LAS SALAS DE JUSTICIA</v>
          </cell>
        </row>
        <row r="195">
          <cell r="A195" t="str">
            <v>440103</v>
          </cell>
          <cell r="B195" t="str">
            <v>UNIDAD DE INVESTIGACIÓN Y ACUSACIÓN</v>
          </cell>
        </row>
        <row r="196">
          <cell r="A196" t="str">
            <v>440104</v>
          </cell>
          <cell r="B196" t="str">
            <v>SECRETARIA EJECUTIVA</v>
          </cell>
        </row>
        <row r="197">
          <cell r="A197" t="str">
            <v>440200</v>
          </cell>
          <cell r="B197" t="str">
            <v>COMISIÓN PARA EL ESCLARECIMIENTO DE LA VERDAD, LA CONVIVENCIA Y LA NO REPETICIÓN</v>
          </cell>
        </row>
        <row r="198">
          <cell r="A198" t="str">
            <v>440300</v>
          </cell>
          <cell r="B198" t="str">
            <v>UNIDAD DE BUSQUEDA DE PERSONAS DADAS POR DESAPARECIDAS EN EL CONTEXTO Y EN RAZÓN DEL CONFLICTO ARMADO UBDP</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outlinePr summaryBelow="0"/>
  </sheetPr>
  <dimension ref="A1:J297"/>
  <sheetViews>
    <sheetView showGridLines="0" tabSelected="1" topLeftCell="A13" zoomScale="80" zoomScaleNormal="80" workbookViewId="0">
      <selection activeCell="L29" sqref="L29"/>
    </sheetView>
  </sheetViews>
  <sheetFormatPr baseColWidth="10" defaultColWidth="11.42578125" defaultRowHeight="11.25" outlineLevelRow="3" x14ac:dyDescent="0.2"/>
  <cols>
    <col min="1" max="1" width="4.5703125" style="1" customWidth="1"/>
    <col min="2" max="5" width="4.5703125" style="2" customWidth="1"/>
    <col min="6" max="6" width="68.140625" style="2" customWidth="1"/>
    <col min="7" max="8" width="28.7109375" style="2" customWidth="1"/>
    <col min="9" max="9" width="41.42578125" style="2" customWidth="1"/>
    <col min="10" max="10" width="11.42578125" style="1" customWidth="1"/>
    <col min="11" max="11" width="0.42578125" style="2" customWidth="1"/>
    <col min="12" max="16384" width="11.42578125" style="2"/>
  </cols>
  <sheetData>
    <row r="1" spans="2:9" x14ac:dyDescent="0.2">
      <c r="B1" s="690" t="s">
        <v>0</v>
      </c>
      <c r="C1" s="690"/>
      <c r="D1" s="690"/>
      <c r="E1" s="690"/>
      <c r="F1" s="690"/>
      <c r="G1" s="690"/>
      <c r="H1" s="690"/>
      <c r="I1" s="690"/>
    </row>
    <row r="2" spans="2:9" x14ac:dyDescent="0.2">
      <c r="B2" s="690" t="s">
        <v>62</v>
      </c>
      <c r="C2" s="690"/>
      <c r="D2" s="690"/>
      <c r="E2" s="690"/>
      <c r="F2" s="690"/>
      <c r="G2" s="690"/>
      <c r="H2" s="690"/>
      <c r="I2" s="690"/>
    </row>
    <row r="3" spans="2:9" x14ac:dyDescent="0.2">
      <c r="B3" s="690" t="s">
        <v>963</v>
      </c>
      <c r="C3" s="690"/>
      <c r="D3" s="690"/>
      <c r="E3" s="690"/>
      <c r="F3" s="690"/>
      <c r="G3" s="690"/>
      <c r="H3" s="690"/>
      <c r="I3" s="690"/>
    </row>
    <row r="4" spans="2:9" x14ac:dyDescent="0.2">
      <c r="B4" s="1"/>
      <c r="C4" s="1"/>
      <c r="D4" s="1"/>
      <c r="E4" s="1"/>
      <c r="F4" s="1"/>
      <c r="G4" s="1"/>
      <c r="H4" s="1"/>
      <c r="I4" s="1"/>
    </row>
    <row r="5" spans="2:9" ht="31.5" customHeight="1" x14ac:dyDescent="0.2">
      <c r="B5" s="696" t="s">
        <v>22</v>
      </c>
      <c r="C5" s="696"/>
      <c r="D5" s="696"/>
      <c r="E5" s="696"/>
      <c r="F5" s="691" t="s">
        <v>1166</v>
      </c>
      <c r="G5" s="691"/>
      <c r="H5" s="691"/>
      <c r="I5" s="1"/>
    </row>
    <row r="6" spans="2:9" x14ac:dyDescent="0.2">
      <c r="B6" s="697" t="s">
        <v>20</v>
      </c>
      <c r="C6" s="698"/>
      <c r="D6" s="698"/>
      <c r="E6" s="699"/>
      <c r="F6" s="692" t="s">
        <v>218</v>
      </c>
      <c r="G6" s="692"/>
      <c r="H6" s="692"/>
      <c r="I6" s="5"/>
    </row>
    <row r="7" spans="2:9" ht="15" customHeight="1" x14ac:dyDescent="0.2">
      <c r="B7" s="700" t="s">
        <v>115</v>
      </c>
      <c r="C7" s="701"/>
      <c r="D7" s="701"/>
      <c r="E7" s="702"/>
      <c r="F7" s="691" t="str">
        <f>IFERROR(VLOOKUP(F6,DESPLEGABLES!A1:B198,2,FALSE),"")</f>
        <v>MINISTERIO DE TECNOLOGIAS DE LA INFORMACION Y LAS COMUNICACIONES - UNIDAD ADMINISTRATIVA ESPECIAL COMISION DE REGULACION DE COMUNICACIONES</v>
      </c>
      <c r="G7" s="691"/>
      <c r="H7" s="691"/>
      <c r="I7" s="1"/>
    </row>
    <row r="8" spans="2:9" ht="27.75" customHeight="1" x14ac:dyDescent="0.2">
      <c r="B8" s="703" t="s">
        <v>734</v>
      </c>
      <c r="C8" s="704"/>
      <c r="D8" s="704"/>
      <c r="E8" s="705"/>
      <c r="F8" s="238" t="s">
        <v>1102</v>
      </c>
      <c r="G8" s="62" t="s">
        <v>736</v>
      </c>
      <c r="H8" s="49" t="str">
        <f>IFERROR(VLOOKUP(F8,DESPLEGABLES!D2:E64,2,FALSE),"")</f>
        <v>6023</v>
      </c>
      <c r="I8" s="1"/>
    </row>
    <row r="9" spans="2:9" ht="18.75" customHeight="1" x14ac:dyDescent="0.2">
      <c r="B9" s="239"/>
      <c r="C9" s="239"/>
      <c r="D9" s="239"/>
      <c r="E9" s="239"/>
      <c r="F9" s="709" t="s">
        <v>965</v>
      </c>
      <c r="G9" s="710"/>
      <c r="H9" s="711"/>
      <c r="I9" s="1"/>
    </row>
    <row r="10" spans="2:9" x14ac:dyDescent="0.2">
      <c r="B10" s="7"/>
      <c r="C10" s="7"/>
      <c r="D10" s="1"/>
      <c r="E10" s="1"/>
      <c r="F10" s="1"/>
      <c r="G10" s="1"/>
      <c r="H10" s="1"/>
      <c r="I10" s="1"/>
    </row>
    <row r="11" spans="2:9" x14ac:dyDescent="0.2">
      <c r="B11" s="1"/>
      <c r="C11" s="684" t="s">
        <v>21</v>
      </c>
      <c r="D11" s="685"/>
      <c r="E11" s="685"/>
      <c r="F11" s="686"/>
      <c r="G11" s="114">
        <v>2020</v>
      </c>
      <c r="H11" s="1"/>
      <c r="I11" s="248" t="s">
        <v>972</v>
      </c>
    </row>
    <row r="12" spans="2:9" x14ac:dyDescent="0.2">
      <c r="B12" s="1"/>
      <c r="C12" s="1"/>
      <c r="D12" s="1"/>
      <c r="E12" s="8"/>
      <c r="F12" s="8"/>
      <c r="G12" s="1"/>
      <c r="H12" s="1"/>
    </row>
    <row r="13" spans="2:9" x14ac:dyDescent="0.2">
      <c r="B13" s="1"/>
      <c r="C13" s="1"/>
      <c r="D13" s="1"/>
      <c r="E13" s="8"/>
      <c r="F13" s="8"/>
      <c r="G13" s="1"/>
      <c r="H13" s="1"/>
      <c r="I13" s="1"/>
    </row>
    <row r="14" spans="2:9" x14ac:dyDescent="0.2">
      <c r="B14" s="1"/>
      <c r="C14" s="1"/>
      <c r="D14" s="1"/>
      <c r="E14" s="8"/>
      <c r="F14" s="8"/>
      <c r="G14" s="1"/>
      <c r="H14" s="1"/>
      <c r="I14" s="1"/>
    </row>
    <row r="15" spans="2:9" x14ac:dyDescent="0.2">
      <c r="B15" s="1"/>
      <c r="C15" s="1"/>
      <c r="D15" s="1"/>
      <c r="E15" s="8"/>
      <c r="F15" s="8"/>
      <c r="G15" s="1"/>
      <c r="H15" s="1"/>
      <c r="I15" s="1"/>
    </row>
    <row r="16" spans="2:9" x14ac:dyDescent="0.2">
      <c r="B16" s="1"/>
      <c r="C16" s="1"/>
      <c r="D16" s="1"/>
      <c r="E16" s="8"/>
      <c r="F16" s="8"/>
      <c r="G16" s="1"/>
      <c r="H16" s="1"/>
      <c r="I16" s="1"/>
    </row>
    <row r="17" spans="1:9" x14ac:dyDescent="0.2">
      <c r="B17" s="1"/>
      <c r="C17" s="1"/>
      <c r="D17" s="1"/>
      <c r="E17" s="8"/>
      <c r="F17" s="8"/>
      <c r="G17" s="1"/>
      <c r="H17" s="1"/>
      <c r="I17" s="1"/>
    </row>
    <row r="18" spans="1:9" x14ac:dyDescent="0.2">
      <c r="B18" s="1"/>
      <c r="C18" s="1"/>
      <c r="D18" s="1"/>
      <c r="E18" s="8"/>
      <c r="F18" s="8"/>
      <c r="G18" s="1"/>
      <c r="H18" s="1"/>
      <c r="I18" s="1"/>
    </row>
    <row r="19" spans="1:9" ht="12" customHeight="1" x14ac:dyDescent="0.2">
      <c r="B19" s="1"/>
      <c r="C19" s="1"/>
      <c r="D19" s="1"/>
      <c r="E19" s="8"/>
      <c r="F19" s="8"/>
      <c r="G19" s="1"/>
      <c r="H19" s="1"/>
      <c r="I19" s="1"/>
    </row>
    <row r="20" spans="1:9" x14ac:dyDescent="0.2">
      <c r="B20" s="1"/>
      <c r="C20" s="1"/>
      <c r="D20" s="1"/>
      <c r="E20" s="8"/>
      <c r="F20" s="8"/>
      <c r="G20" s="1"/>
      <c r="H20" s="1"/>
      <c r="I20" s="1"/>
    </row>
    <row r="21" spans="1:9" x14ac:dyDescent="0.2">
      <c r="B21" s="1"/>
      <c r="C21" s="1"/>
      <c r="D21" s="1"/>
      <c r="E21" s="8"/>
      <c r="F21" s="8"/>
      <c r="G21" s="1"/>
      <c r="H21" s="1"/>
      <c r="I21" s="1"/>
    </row>
    <row r="22" spans="1:9" x14ac:dyDescent="0.2">
      <c r="B22" s="1"/>
      <c r="C22" s="1"/>
      <c r="D22" s="1"/>
      <c r="E22" s="8"/>
      <c r="F22" s="8"/>
      <c r="G22" s="1"/>
      <c r="H22" s="1"/>
      <c r="I22" s="1"/>
    </row>
    <row r="23" spans="1:9" x14ac:dyDescent="0.2">
      <c r="B23" s="1"/>
      <c r="C23" s="1"/>
      <c r="D23" s="1"/>
      <c r="E23" s="8"/>
      <c r="F23" s="8"/>
      <c r="G23" s="1"/>
      <c r="H23" s="1"/>
      <c r="I23" s="1"/>
    </row>
    <row r="24" spans="1:9" x14ac:dyDescent="0.2">
      <c r="B24" s="1"/>
      <c r="C24" s="1"/>
      <c r="D24" s="1"/>
      <c r="E24" s="8"/>
      <c r="F24" s="8"/>
      <c r="G24" s="1"/>
      <c r="H24" s="1"/>
      <c r="I24" s="1"/>
    </row>
    <row r="25" spans="1:9" x14ac:dyDescent="0.2">
      <c r="B25" s="1"/>
      <c r="C25" s="1"/>
      <c r="D25" s="1"/>
      <c r="E25" s="8"/>
      <c r="F25" s="8"/>
      <c r="G25" s="1"/>
      <c r="H25" s="1"/>
      <c r="I25" s="1"/>
    </row>
    <row r="26" spans="1:9" ht="12" thickBot="1" x14ac:dyDescent="0.25">
      <c r="B26" s="1"/>
      <c r="C26" s="1"/>
      <c r="D26" s="1"/>
      <c r="E26" s="1"/>
      <c r="F26" s="1"/>
      <c r="G26" s="1"/>
      <c r="H26" s="1"/>
      <c r="I26" s="1"/>
    </row>
    <row r="27" spans="1:9" ht="36" customHeight="1" thickTop="1" thickBot="1" x14ac:dyDescent="0.25">
      <c r="A27" s="706" t="s">
        <v>16</v>
      </c>
      <c r="B27" s="707"/>
      <c r="C27" s="707"/>
      <c r="D27" s="707"/>
      <c r="E27" s="708"/>
      <c r="F27" s="682" t="s">
        <v>17</v>
      </c>
      <c r="G27" s="687" t="s">
        <v>18</v>
      </c>
      <c r="H27" s="687" t="s">
        <v>19</v>
      </c>
      <c r="I27" s="682" t="s">
        <v>358</v>
      </c>
    </row>
    <row r="28" spans="1:9" ht="12.75" thickTop="1" thickBot="1" x14ac:dyDescent="0.25">
      <c r="A28" s="61">
        <v>1</v>
      </c>
      <c r="B28" s="65">
        <v>2</v>
      </c>
      <c r="C28" s="66">
        <v>3</v>
      </c>
      <c r="D28" s="65">
        <v>4</v>
      </c>
      <c r="E28" s="67">
        <v>5</v>
      </c>
      <c r="F28" s="683"/>
      <c r="G28" s="688"/>
      <c r="H28" s="689"/>
      <c r="I28" s="683"/>
    </row>
    <row r="29" spans="1:9" ht="12.75" thickTop="1" thickBot="1" x14ac:dyDescent="0.25">
      <c r="A29" s="31">
        <v>1</v>
      </c>
      <c r="B29" s="31"/>
      <c r="C29" s="31"/>
      <c r="D29" s="64"/>
      <c r="E29" s="31"/>
      <c r="F29" s="36" t="s">
        <v>1</v>
      </c>
      <c r="G29" s="155">
        <f>G37+G30</f>
        <v>32117729924</v>
      </c>
      <c r="H29" s="155">
        <f>H37+H30</f>
        <v>70532798000</v>
      </c>
      <c r="I29" s="9"/>
    </row>
    <row r="30" spans="1:9" ht="12" outlineLevel="1" collapsed="1" thickBot="1" x14ac:dyDescent="0.25">
      <c r="A30" s="32">
        <v>1</v>
      </c>
      <c r="B30" s="240" t="s">
        <v>543</v>
      </c>
      <c r="C30" s="32"/>
      <c r="D30" s="32"/>
      <c r="E30" s="32"/>
      <c r="F30" s="37" t="s">
        <v>530</v>
      </c>
      <c r="G30" s="156">
        <f>G31</f>
        <v>0</v>
      </c>
      <c r="H30" s="157">
        <f>H31</f>
        <v>0</v>
      </c>
      <c r="I30" s="25"/>
    </row>
    <row r="31" spans="1:9" hidden="1" outlineLevel="2" x14ac:dyDescent="0.2">
      <c r="A31" s="33">
        <v>1</v>
      </c>
      <c r="B31" s="241" t="s">
        <v>543</v>
      </c>
      <c r="C31" s="33">
        <v>2</v>
      </c>
      <c r="D31" s="33"/>
      <c r="E31" s="33"/>
      <c r="F31" s="38" t="s">
        <v>531</v>
      </c>
      <c r="G31" s="158">
        <f>SUM(G32:G36)</f>
        <v>0</v>
      </c>
      <c r="H31" s="158">
        <f>SUM(H32:H36)</f>
        <v>0</v>
      </c>
      <c r="I31" s="10"/>
    </row>
    <row r="32" spans="1:9" hidden="1" outlineLevel="2" x14ac:dyDescent="0.2">
      <c r="A32" s="250">
        <v>1</v>
      </c>
      <c r="B32" s="251" t="s">
        <v>543</v>
      </c>
      <c r="C32" s="250">
        <v>2</v>
      </c>
      <c r="D32" s="250" t="str">
        <f>IFERROR(VLOOKUP(F32,DESPLEGABLES!#REF!,2,FALSE),"")</f>
        <v/>
      </c>
      <c r="E32" s="252" t="str">
        <f>IFERROR(VLOOKUP(F32,DESPLEGABLES!$G$2:$H$6,2,FALSE),"")</f>
        <v/>
      </c>
      <c r="F32" s="253"/>
      <c r="G32" s="254"/>
      <c r="H32" s="255"/>
      <c r="I32" s="256"/>
    </row>
    <row r="33" spans="1:10" hidden="1" outlineLevel="2" x14ac:dyDescent="0.2">
      <c r="A33" s="250">
        <v>1</v>
      </c>
      <c r="B33" s="251" t="s">
        <v>543</v>
      </c>
      <c r="C33" s="250">
        <v>2</v>
      </c>
      <c r="D33" s="250" t="str">
        <f>IFERROR(VLOOKUP(F33,DESPLEGABLES!#REF!,2,FALSE),"")</f>
        <v/>
      </c>
      <c r="E33" s="252" t="str">
        <f>IFERROR(VLOOKUP(F33,DESPLEGABLES!$G$2:$H$6,2,FALSE),"")</f>
        <v/>
      </c>
      <c r="F33" s="253"/>
      <c r="G33" s="254"/>
      <c r="H33" s="255"/>
      <c r="I33" s="256"/>
    </row>
    <row r="34" spans="1:10" hidden="1" outlineLevel="2" x14ac:dyDescent="0.2">
      <c r="A34" s="250">
        <v>1</v>
      </c>
      <c r="B34" s="251" t="s">
        <v>543</v>
      </c>
      <c r="C34" s="250">
        <v>2</v>
      </c>
      <c r="D34" s="250"/>
      <c r="E34" s="252" t="str">
        <f>IFERROR(VLOOKUP(F34,DESPLEGABLES!$G$2:$H$6,2,FALSE),"")</f>
        <v/>
      </c>
      <c r="F34" s="253"/>
      <c r="G34" s="254"/>
      <c r="H34" s="255"/>
      <c r="I34" s="256"/>
    </row>
    <row r="35" spans="1:10" hidden="1" outlineLevel="2" x14ac:dyDescent="0.2">
      <c r="A35" s="250">
        <v>1</v>
      </c>
      <c r="B35" s="251" t="s">
        <v>543</v>
      </c>
      <c r="C35" s="250">
        <v>2</v>
      </c>
      <c r="D35" s="250" t="str">
        <f>IFERROR(VLOOKUP(F35,DESPLEGABLES!#REF!,2,FALSE),"")</f>
        <v/>
      </c>
      <c r="E35" s="252" t="str">
        <f>IFERROR(VLOOKUP(F35,DESPLEGABLES!$G$2:$H$6,2,FALSE),"")</f>
        <v/>
      </c>
      <c r="F35" s="253"/>
      <c r="G35" s="254"/>
      <c r="H35" s="255"/>
      <c r="I35" s="256"/>
    </row>
    <row r="36" spans="1:10" ht="12" hidden="1" outlineLevel="2" thickBot="1" x14ac:dyDescent="0.25">
      <c r="A36" s="250">
        <v>1</v>
      </c>
      <c r="B36" s="251" t="s">
        <v>543</v>
      </c>
      <c r="C36" s="250">
        <v>2</v>
      </c>
      <c r="D36" s="250"/>
      <c r="E36" s="252" t="str">
        <f>IFERROR(VLOOKUP(F36,DESPLEGABLES!$G$2:$H$6,2,FALSE),"")</f>
        <v/>
      </c>
      <c r="F36" s="253"/>
      <c r="G36" s="254"/>
      <c r="H36" s="255"/>
      <c r="I36" s="256"/>
    </row>
    <row r="37" spans="1:10" ht="12" outlineLevel="1" thickBot="1" x14ac:dyDescent="0.25">
      <c r="A37" s="32">
        <v>1</v>
      </c>
      <c r="B37" s="240" t="s">
        <v>544</v>
      </c>
      <c r="C37" s="32"/>
      <c r="D37" s="32"/>
      <c r="E37" s="32"/>
      <c r="F37" s="37" t="s">
        <v>2</v>
      </c>
      <c r="G37" s="156">
        <f>G38+G61+G67+G69+G72+G54</f>
        <v>32117729924</v>
      </c>
      <c r="H37" s="162">
        <f>H38+H61+H67+H69+H72+H54</f>
        <v>70532798000</v>
      </c>
      <c r="I37" s="13"/>
    </row>
    <row r="38" spans="1:10" outlineLevel="2" x14ac:dyDescent="0.2">
      <c r="A38" s="33">
        <v>1</v>
      </c>
      <c r="B38" s="241" t="s">
        <v>544</v>
      </c>
      <c r="C38" s="33">
        <v>1</v>
      </c>
      <c r="D38" s="33"/>
      <c r="E38" s="33"/>
      <c r="F38" s="38" t="s">
        <v>3</v>
      </c>
      <c r="G38" s="158">
        <f>G39+G42+G44+G47</f>
        <v>32117729924</v>
      </c>
      <c r="H38" s="159">
        <f>H39+H42+H44+H47</f>
        <v>70532798000</v>
      </c>
      <c r="I38" s="18"/>
    </row>
    <row r="39" spans="1:10" outlineLevel="2" collapsed="1" x14ac:dyDescent="0.2">
      <c r="A39" s="34">
        <v>1</v>
      </c>
      <c r="B39" s="242" t="s">
        <v>544</v>
      </c>
      <c r="C39" s="34">
        <v>1</v>
      </c>
      <c r="D39" s="242" t="s">
        <v>543</v>
      </c>
      <c r="E39" s="34"/>
      <c r="F39" s="39" t="s">
        <v>535</v>
      </c>
      <c r="G39" s="163">
        <f>SUM(G40:G41)</f>
        <v>0</v>
      </c>
      <c r="H39" s="164">
        <f>SUM(H40:H41)</f>
        <v>0</v>
      </c>
      <c r="I39" s="22"/>
      <c r="J39" s="5"/>
    </row>
    <row r="40" spans="1:10" hidden="1" outlineLevel="3" x14ac:dyDescent="0.2">
      <c r="A40" s="252">
        <v>1</v>
      </c>
      <c r="B40" s="257" t="s">
        <v>544</v>
      </c>
      <c r="C40" s="252">
        <v>1</v>
      </c>
      <c r="D40" s="257" t="s">
        <v>543</v>
      </c>
      <c r="E40" s="252" t="str">
        <f>IFERROR(VLOOKUP(F40,DESPLEGABLES!M2:N3,2,FALSE),"")</f>
        <v/>
      </c>
      <c r="F40" s="258"/>
      <c r="G40" s="259"/>
      <c r="H40" s="260"/>
      <c r="I40" s="261"/>
      <c r="J40" s="5"/>
    </row>
    <row r="41" spans="1:10" hidden="1" outlineLevel="3" x14ac:dyDescent="0.2">
      <c r="A41" s="252">
        <v>1</v>
      </c>
      <c r="B41" s="257" t="s">
        <v>544</v>
      </c>
      <c r="C41" s="252">
        <v>1</v>
      </c>
      <c r="D41" s="257" t="s">
        <v>543</v>
      </c>
      <c r="E41" s="252" t="str">
        <f>IFERROR(VLOOKUP(F41,DESPLEGABLES!M2:N3,2,FALSE),"")</f>
        <v/>
      </c>
      <c r="F41" s="258"/>
      <c r="G41" s="262"/>
      <c r="H41" s="260"/>
      <c r="I41" s="261"/>
      <c r="J41" s="5"/>
    </row>
    <row r="42" spans="1:10" outlineLevel="2" collapsed="1" x14ac:dyDescent="0.2">
      <c r="A42" s="34">
        <v>1</v>
      </c>
      <c r="B42" s="242" t="s">
        <v>544</v>
      </c>
      <c r="C42" s="34">
        <v>1</v>
      </c>
      <c r="D42" s="242" t="s">
        <v>544</v>
      </c>
      <c r="E42" s="34"/>
      <c r="F42" s="39" t="s">
        <v>730</v>
      </c>
      <c r="G42" s="163">
        <f>G43</f>
        <v>0</v>
      </c>
      <c r="H42" s="168">
        <f>H43</f>
        <v>0</v>
      </c>
      <c r="I42" s="14"/>
      <c r="J42" s="5"/>
    </row>
    <row r="43" spans="1:10" hidden="1" outlineLevel="3" x14ac:dyDescent="0.2">
      <c r="A43" s="35">
        <v>1</v>
      </c>
      <c r="B43" s="243" t="s">
        <v>544</v>
      </c>
      <c r="C43" s="35">
        <v>1</v>
      </c>
      <c r="D43" s="243" t="s">
        <v>544</v>
      </c>
      <c r="E43" s="51" t="str">
        <f>IFERROR(VLOOKUP(F43,DESPLEGABLES!M7:N8,2,FALSE),"")</f>
        <v/>
      </c>
      <c r="F43" s="4"/>
      <c r="G43" s="165"/>
      <c r="H43" s="169"/>
      <c r="I43" s="11"/>
      <c r="J43" s="5"/>
    </row>
    <row r="44" spans="1:10" outlineLevel="2" collapsed="1" x14ac:dyDescent="0.2">
      <c r="A44" s="34">
        <v>1</v>
      </c>
      <c r="B44" s="242" t="s">
        <v>544</v>
      </c>
      <c r="C44" s="34">
        <v>1</v>
      </c>
      <c r="D44" s="242" t="s">
        <v>545</v>
      </c>
      <c r="E44" s="34"/>
      <c r="F44" s="39" t="s">
        <v>667</v>
      </c>
      <c r="G44" s="163">
        <f>SUM(G45:G46)</f>
        <v>0</v>
      </c>
      <c r="H44" s="163">
        <f>SUM(H45:H46)</f>
        <v>0</v>
      </c>
      <c r="I44" s="15"/>
      <c r="J44" s="5"/>
    </row>
    <row r="45" spans="1:10" hidden="1" outlineLevel="3" x14ac:dyDescent="0.2">
      <c r="A45" s="52">
        <v>1</v>
      </c>
      <c r="B45" s="245" t="s">
        <v>544</v>
      </c>
      <c r="C45" s="52">
        <v>1</v>
      </c>
      <c r="D45" s="243" t="s">
        <v>545</v>
      </c>
      <c r="E45" s="53" t="str">
        <f>IFERROR(VLOOKUP(F45,DESPLEGABLES!M13:N15,2,FALSE),"")</f>
        <v/>
      </c>
      <c r="F45" s="6"/>
      <c r="G45" s="170"/>
      <c r="H45" s="171"/>
      <c r="I45" s="12"/>
      <c r="J45" s="5"/>
    </row>
    <row r="46" spans="1:10" hidden="1" outlineLevel="3" x14ac:dyDescent="0.2">
      <c r="A46" s="52">
        <v>1</v>
      </c>
      <c r="B46" s="245" t="s">
        <v>544</v>
      </c>
      <c r="C46" s="52">
        <v>1</v>
      </c>
      <c r="D46" s="243" t="s">
        <v>545</v>
      </c>
      <c r="E46" s="53" t="str">
        <f>IFERROR(VLOOKUP(F46,DESPLEGABLES!M13:N15,2,FALSE),"")</f>
        <v/>
      </c>
      <c r="F46" s="6"/>
      <c r="G46" s="170"/>
      <c r="H46" s="171"/>
      <c r="I46" s="12"/>
      <c r="J46" s="5"/>
    </row>
    <row r="47" spans="1:10" outlineLevel="2" x14ac:dyDescent="0.2">
      <c r="A47" s="34">
        <v>1</v>
      </c>
      <c r="B47" s="242" t="s">
        <v>544</v>
      </c>
      <c r="C47" s="34">
        <v>1</v>
      </c>
      <c r="D47" s="242" t="s">
        <v>548</v>
      </c>
      <c r="E47" s="34"/>
      <c r="F47" s="39" t="s">
        <v>731</v>
      </c>
      <c r="G47" s="163">
        <f>SUM(G48:G53)</f>
        <v>32117729924</v>
      </c>
      <c r="H47" s="163">
        <f>SUM(H48:H53)</f>
        <v>70532798000</v>
      </c>
      <c r="I47" s="15"/>
      <c r="J47" s="5"/>
    </row>
    <row r="48" spans="1:10" ht="22.5" outlineLevel="3" x14ac:dyDescent="0.2">
      <c r="A48" s="35">
        <v>1</v>
      </c>
      <c r="B48" s="243" t="s">
        <v>544</v>
      </c>
      <c r="C48" s="35">
        <v>1</v>
      </c>
      <c r="D48" s="243" t="s">
        <v>548</v>
      </c>
      <c r="E48" s="54" t="str">
        <f>IFERROR(VLOOKUP(F48,DESPLEGABLES!$P$2:$Q$35,2,FALSE),"")</f>
        <v>01</v>
      </c>
      <c r="F48" s="4" t="s">
        <v>540</v>
      </c>
      <c r="G48" s="172">
        <v>32117729924</v>
      </c>
      <c r="H48" s="166">
        <v>70532798000</v>
      </c>
      <c r="I48" s="24" t="s">
        <v>1174</v>
      </c>
      <c r="J48" s="5"/>
    </row>
    <row r="49" spans="1:10" outlineLevel="3" x14ac:dyDescent="0.2">
      <c r="A49" s="35">
        <v>1</v>
      </c>
      <c r="B49" s="243" t="s">
        <v>544</v>
      </c>
      <c r="C49" s="35">
        <v>1</v>
      </c>
      <c r="D49" s="243" t="s">
        <v>548</v>
      </c>
      <c r="E49" s="54" t="str">
        <f>IFERROR(VLOOKUP(F49,DESPLEGABLES!$P$2:$Q$35,2,FALSE),"")</f>
        <v/>
      </c>
      <c r="F49" s="4"/>
      <c r="G49" s="172"/>
      <c r="H49" s="166"/>
      <c r="I49" s="24"/>
      <c r="J49" s="5"/>
    </row>
    <row r="50" spans="1:10" outlineLevel="3" x14ac:dyDescent="0.2">
      <c r="A50" s="35">
        <v>1</v>
      </c>
      <c r="B50" s="243" t="s">
        <v>544</v>
      </c>
      <c r="C50" s="35">
        <v>1</v>
      </c>
      <c r="D50" s="243" t="s">
        <v>548</v>
      </c>
      <c r="E50" s="54" t="str">
        <f>IFERROR(VLOOKUP(F50,DESPLEGABLES!$P$2:$Q$35,2,FALSE),"")</f>
        <v/>
      </c>
      <c r="F50" s="4"/>
      <c r="G50" s="172"/>
      <c r="H50" s="166"/>
      <c r="I50" s="24"/>
      <c r="J50" s="5"/>
    </row>
    <row r="51" spans="1:10" outlineLevel="3" x14ac:dyDescent="0.2">
      <c r="A51" s="35">
        <v>1</v>
      </c>
      <c r="B51" s="243" t="s">
        <v>544</v>
      </c>
      <c r="C51" s="35">
        <v>1</v>
      </c>
      <c r="D51" s="243" t="s">
        <v>548</v>
      </c>
      <c r="E51" s="54" t="str">
        <f>IFERROR(VLOOKUP(F51,DESPLEGABLES!$P$2:$Q$35,2,FALSE),"")</f>
        <v/>
      </c>
      <c r="F51" s="4"/>
      <c r="G51" s="172"/>
      <c r="H51" s="172"/>
      <c r="I51" s="26"/>
      <c r="J51" s="5"/>
    </row>
    <row r="52" spans="1:10" outlineLevel="3" x14ac:dyDescent="0.2">
      <c r="A52" s="35">
        <v>1</v>
      </c>
      <c r="B52" s="243" t="s">
        <v>544</v>
      </c>
      <c r="C52" s="35">
        <v>1</v>
      </c>
      <c r="D52" s="243" t="s">
        <v>548</v>
      </c>
      <c r="E52" s="54" t="str">
        <f>IFERROR(VLOOKUP(F52,DESPLEGABLES!$P$2:$Q$35,2,FALSE),"")</f>
        <v/>
      </c>
      <c r="F52" s="4"/>
      <c r="G52" s="172"/>
      <c r="H52" s="172"/>
      <c r="I52" s="26"/>
      <c r="J52" s="5"/>
    </row>
    <row r="53" spans="1:10" outlineLevel="3" x14ac:dyDescent="0.2">
      <c r="A53" s="35">
        <v>1</v>
      </c>
      <c r="B53" s="243" t="s">
        <v>544</v>
      </c>
      <c r="C53" s="35">
        <v>1</v>
      </c>
      <c r="D53" s="243" t="s">
        <v>548</v>
      </c>
      <c r="E53" s="55"/>
      <c r="F53" s="4"/>
      <c r="G53" s="172"/>
      <c r="H53" s="172"/>
      <c r="I53" s="27"/>
      <c r="J53" s="5"/>
    </row>
    <row r="54" spans="1:10" outlineLevel="2" collapsed="1" x14ac:dyDescent="0.2">
      <c r="A54" s="33">
        <v>1</v>
      </c>
      <c r="B54" s="241" t="s">
        <v>544</v>
      </c>
      <c r="C54" s="33">
        <v>2</v>
      </c>
      <c r="D54" s="33"/>
      <c r="E54" s="33"/>
      <c r="F54" s="38" t="s">
        <v>666</v>
      </c>
      <c r="G54" s="158">
        <f>SUM(G55:G60)</f>
        <v>0</v>
      </c>
      <c r="H54" s="159">
        <f>SUM(H55:H60)</f>
        <v>0</v>
      </c>
      <c r="I54" s="18"/>
    </row>
    <row r="55" spans="1:10" hidden="1" outlineLevel="3" x14ac:dyDescent="0.2">
      <c r="A55" s="272">
        <v>1</v>
      </c>
      <c r="B55" s="273" t="s">
        <v>544</v>
      </c>
      <c r="C55" s="272">
        <v>2</v>
      </c>
      <c r="D55" s="272" t="str">
        <f>IFERROR(VLOOKUP(F55,DESPLEGABLES!V68:W70,2,FALSE),"")</f>
        <v/>
      </c>
      <c r="E55" s="272" t="str">
        <f>IFERROR(VLOOKUP(F55,DESPLEGABLES!$V$68:$W$80,2,FALSE),"")</f>
        <v/>
      </c>
      <c r="F55" s="277"/>
      <c r="G55" s="274"/>
      <c r="H55" s="275"/>
      <c r="I55" s="276"/>
      <c r="J55" s="63"/>
    </row>
    <row r="56" spans="1:10" hidden="1" outlineLevel="3" x14ac:dyDescent="0.2">
      <c r="A56" s="54">
        <v>1</v>
      </c>
      <c r="B56" s="268" t="s">
        <v>544</v>
      </c>
      <c r="C56" s="54">
        <v>2</v>
      </c>
      <c r="D56" s="54"/>
      <c r="E56" s="54" t="str">
        <f>IFERROR(VLOOKUP(F56,DESPLEGABLES!$V$68:$W$80,2,FALSE),"")</f>
        <v/>
      </c>
      <c r="F56" s="278"/>
      <c r="G56" s="269"/>
      <c r="H56" s="166"/>
      <c r="I56" s="270"/>
      <c r="J56" s="63"/>
    </row>
    <row r="57" spans="1:10" hidden="1" outlineLevel="3" x14ac:dyDescent="0.2">
      <c r="A57" s="54">
        <v>1</v>
      </c>
      <c r="B57" s="268" t="s">
        <v>544</v>
      </c>
      <c r="C57" s="54">
        <v>2</v>
      </c>
      <c r="D57" s="54"/>
      <c r="E57" s="54" t="str">
        <f>IFERROR(VLOOKUP(F57,DESPLEGABLES!$V$68:$W$80,2,FALSE),"")</f>
        <v/>
      </c>
      <c r="F57" s="278"/>
      <c r="G57" s="269"/>
      <c r="H57" s="166"/>
      <c r="I57" s="271"/>
    </row>
    <row r="58" spans="1:10" hidden="1" outlineLevel="3" x14ac:dyDescent="0.2">
      <c r="A58" s="54">
        <v>1</v>
      </c>
      <c r="B58" s="268" t="s">
        <v>544</v>
      </c>
      <c r="C58" s="54">
        <v>2</v>
      </c>
      <c r="D58" s="54"/>
      <c r="E58" s="54" t="str">
        <f>IFERROR(VLOOKUP(F58,DESPLEGABLES!$V$68:$W$80,2,FALSE),"")</f>
        <v/>
      </c>
      <c r="F58" s="278"/>
      <c r="G58" s="269"/>
      <c r="H58" s="166"/>
      <c r="I58" s="270"/>
      <c r="J58" s="63"/>
    </row>
    <row r="59" spans="1:10" hidden="1" outlineLevel="3" x14ac:dyDescent="0.2">
      <c r="A59" s="54">
        <v>1</v>
      </c>
      <c r="B59" s="268" t="s">
        <v>544</v>
      </c>
      <c r="C59" s="54">
        <v>2</v>
      </c>
      <c r="D59" s="54"/>
      <c r="E59" s="54" t="str">
        <f>IFERROR(VLOOKUP(F59,DESPLEGABLES!$V$68:$W$80,2,FALSE),"")</f>
        <v/>
      </c>
      <c r="F59" s="278"/>
      <c r="G59" s="269"/>
      <c r="H59" s="166"/>
      <c r="I59" s="270"/>
      <c r="J59" s="63"/>
    </row>
    <row r="60" spans="1:10" hidden="1" outlineLevel="3" x14ac:dyDescent="0.2">
      <c r="A60" s="263">
        <v>1</v>
      </c>
      <c r="B60" s="247" t="s">
        <v>544</v>
      </c>
      <c r="C60" s="263">
        <v>2</v>
      </c>
      <c r="D60" s="263"/>
      <c r="E60" s="263"/>
      <c r="F60" s="264"/>
      <c r="G60" s="265"/>
      <c r="H60" s="266"/>
      <c r="I60" s="267"/>
    </row>
    <row r="61" spans="1:10" outlineLevel="2" x14ac:dyDescent="0.2">
      <c r="A61" s="33">
        <v>1</v>
      </c>
      <c r="B61" s="241" t="s">
        <v>544</v>
      </c>
      <c r="C61" s="33">
        <v>3</v>
      </c>
      <c r="D61" s="33"/>
      <c r="E61" s="33"/>
      <c r="F61" s="38" t="s">
        <v>537</v>
      </c>
      <c r="G61" s="158">
        <f>G62+G66</f>
        <v>0</v>
      </c>
      <c r="H61" s="159">
        <f>H62+H66</f>
        <v>0</v>
      </c>
      <c r="I61" s="18"/>
    </row>
    <row r="62" spans="1:10" outlineLevel="2" collapsed="1" x14ac:dyDescent="0.2">
      <c r="A62" s="34">
        <v>1</v>
      </c>
      <c r="B62" s="242" t="s">
        <v>544</v>
      </c>
      <c r="C62" s="34">
        <v>3</v>
      </c>
      <c r="D62" s="242" t="s">
        <v>543</v>
      </c>
      <c r="E62" s="34"/>
      <c r="F62" s="39" t="s">
        <v>966</v>
      </c>
      <c r="G62" s="163">
        <f>SUM(G63:G65)</f>
        <v>0</v>
      </c>
      <c r="H62" s="163">
        <f>SUM(H63:H65)</f>
        <v>0</v>
      </c>
      <c r="I62" s="15"/>
      <c r="J62" s="5"/>
    </row>
    <row r="63" spans="1:10" hidden="1" outlineLevel="3" x14ac:dyDescent="0.2">
      <c r="A63" s="52">
        <v>1</v>
      </c>
      <c r="B63" s="245" t="s">
        <v>544</v>
      </c>
      <c r="C63" s="52">
        <v>3</v>
      </c>
      <c r="D63" s="243" t="s">
        <v>543</v>
      </c>
      <c r="E63" s="53" t="str">
        <f>IFERROR(VLOOKUP(F63,DESPLEGABLES!$G$14:$H$21,2,FALSE),"")</f>
        <v/>
      </c>
      <c r="F63" s="6"/>
      <c r="G63" s="170"/>
      <c r="H63" s="171"/>
      <c r="I63" s="12"/>
      <c r="J63" s="5"/>
    </row>
    <row r="64" spans="1:10" hidden="1" outlineLevel="3" x14ac:dyDescent="0.2">
      <c r="A64" s="52">
        <v>1</v>
      </c>
      <c r="B64" s="245" t="s">
        <v>544</v>
      </c>
      <c r="C64" s="52">
        <v>3</v>
      </c>
      <c r="D64" s="243" t="s">
        <v>543</v>
      </c>
      <c r="E64" s="53" t="str">
        <f>IFERROR(VLOOKUP(F64,DESPLEGABLES!$G$14:$H$21,2,FALSE),"")</f>
        <v/>
      </c>
      <c r="F64" s="6"/>
      <c r="G64" s="170"/>
      <c r="H64" s="171"/>
      <c r="I64" s="12"/>
      <c r="J64" s="5"/>
    </row>
    <row r="65" spans="1:10" hidden="1" outlineLevel="3" x14ac:dyDescent="0.2">
      <c r="A65" s="52">
        <v>1</v>
      </c>
      <c r="B65" s="245" t="s">
        <v>544</v>
      </c>
      <c r="C65" s="52">
        <v>3</v>
      </c>
      <c r="D65" s="243" t="s">
        <v>543</v>
      </c>
      <c r="E65" s="53" t="str">
        <f>IFERROR(VLOOKUP(F65,DESPLEGABLES!$G$14:$H$21,2,FALSE),"")</f>
        <v/>
      </c>
      <c r="F65" s="6"/>
      <c r="G65" s="170"/>
      <c r="H65" s="171"/>
      <c r="I65" s="12"/>
      <c r="J65" s="5"/>
    </row>
    <row r="66" spans="1:10" outlineLevel="2" x14ac:dyDescent="0.2">
      <c r="A66" s="34">
        <v>1</v>
      </c>
      <c r="B66" s="242" t="s">
        <v>544</v>
      </c>
      <c r="C66" s="34">
        <v>3</v>
      </c>
      <c r="D66" s="242" t="s">
        <v>544</v>
      </c>
      <c r="E66" s="34"/>
      <c r="F66" s="39" t="s">
        <v>967</v>
      </c>
      <c r="G66" s="160"/>
      <c r="H66" s="160"/>
      <c r="I66" s="15"/>
      <c r="J66" s="5"/>
    </row>
    <row r="67" spans="1:10" outlineLevel="2" collapsed="1" x14ac:dyDescent="0.2">
      <c r="A67" s="33">
        <v>1</v>
      </c>
      <c r="B67" s="241" t="s">
        <v>544</v>
      </c>
      <c r="C67" s="33">
        <v>4</v>
      </c>
      <c r="D67" s="33"/>
      <c r="E67" s="33"/>
      <c r="F67" s="38" t="s">
        <v>89</v>
      </c>
      <c r="G67" s="158">
        <f>G68</f>
        <v>0</v>
      </c>
      <c r="H67" s="159">
        <f>H68</f>
        <v>0</v>
      </c>
      <c r="I67" s="18"/>
    </row>
    <row r="68" spans="1:10" hidden="1" outlineLevel="3" x14ac:dyDescent="0.2">
      <c r="A68" s="34">
        <v>1</v>
      </c>
      <c r="B68" s="242" t="s">
        <v>544</v>
      </c>
      <c r="C68" s="34">
        <v>4</v>
      </c>
      <c r="D68" s="242"/>
      <c r="E68" s="53" t="str">
        <f>IFERROR(VLOOKUP(F68,DESPLEGABLES!AB2:AC2,2,FALSE),"")</f>
        <v/>
      </c>
      <c r="F68" s="50"/>
      <c r="G68" s="160"/>
      <c r="H68" s="161"/>
      <c r="I68" s="20"/>
    </row>
    <row r="69" spans="1:10" outlineLevel="2" collapsed="1" x14ac:dyDescent="0.2">
      <c r="A69" s="33">
        <v>1</v>
      </c>
      <c r="B69" s="241" t="s">
        <v>544</v>
      </c>
      <c r="C69" s="33">
        <v>5</v>
      </c>
      <c r="D69" s="241"/>
      <c r="E69" s="33"/>
      <c r="F69" s="38" t="s">
        <v>4</v>
      </c>
      <c r="G69" s="158">
        <f>SUM(G70:G71)</f>
        <v>0</v>
      </c>
      <c r="H69" s="159">
        <f>SUM(H70:H71)</f>
        <v>0</v>
      </c>
      <c r="I69" s="19"/>
    </row>
    <row r="70" spans="1:10" hidden="1" outlineLevel="3" x14ac:dyDescent="0.2">
      <c r="A70" s="34">
        <v>1</v>
      </c>
      <c r="B70" s="242" t="s">
        <v>544</v>
      </c>
      <c r="C70" s="34">
        <v>5</v>
      </c>
      <c r="D70" s="242" t="s">
        <v>543</v>
      </c>
      <c r="E70" s="34"/>
      <c r="F70" s="39" t="s">
        <v>738</v>
      </c>
      <c r="G70" s="160"/>
      <c r="H70" s="175"/>
      <c r="I70" s="20"/>
    </row>
    <row r="71" spans="1:10" hidden="1" outlineLevel="3" x14ac:dyDescent="0.2">
      <c r="A71" s="34">
        <v>1</v>
      </c>
      <c r="B71" s="242" t="s">
        <v>544</v>
      </c>
      <c r="C71" s="34">
        <v>5</v>
      </c>
      <c r="D71" s="242" t="s">
        <v>544</v>
      </c>
      <c r="E71" s="34"/>
      <c r="F71" s="39" t="s">
        <v>5</v>
      </c>
      <c r="G71" s="160"/>
      <c r="H71" s="175"/>
      <c r="I71" s="20"/>
    </row>
    <row r="72" spans="1:10" outlineLevel="2" x14ac:dyDescent="0.2">
      <c r="A72" s="33">
        <v>1</v>
      </c>
      <c r="B72" s="241" t="s">
        <v>544</v>
      </c>
      <c r="C72" s="33">
        <v>6</v>
      </c>
      <c r="D72" s="241"/>
      <c r="E72" s="33"/>
      <c r="F72" s="38" t="s">
        <v>6</v>
      </c>
      <c r="G72" s="158">
        <f>G73+G74+G75+G76+G77+G79+G80+G81+G82+G83+G84+G85+G86+G87</f>
        <v>0</v>
      </c>
      <c r="H72" s="158">
        <f>H73+H74+H75+H76+H77+H79+H80+H81+H82+H83+H84+H85+H86+H87</f>
        <v>0</v>
      </c>
      <c r="I72" s="18"/>
    </row>
    <row r="73" spans="1:10" outlineLevel="2" x14ac:dyDescent="0.2">
      <c r="A73" s="34">
        <v>1</v>
      </c>
      <c r="B73" s="242" t="s">
        <v>544</v>
      </c>
      <c r="C73" s="34">
        <v>6</v>
      </c>
      <c r="D73" s="242" t="s">
        <v>543</v>
      </c>
      <c r="E73" s="34"/>
      <c r="F73" s="39" t="s">
        <v>12</v>
      </c>
      <c r="G73" s="160"/>
      <c r="H73" s="175"/>
      <c r="I73" s="20"/>
      <c r="J73" s="5"/>
    </row>
    <row r="74" spans="1:10" outlineLevel="2" x14ac:dyDescent="0.2">
      <c r="A74" s="34">
        <v>2</v>
      </c>
      <c r="B74" s="242" t="s">
        <v>545</v>
      </c>
      <c r="C74" s="34">
        <v>7</v>
      </c>
      <c r="D74" s="242" t="s">
        <v>544</v>
      </c>
      <c r="E74" s="34"/>
      <c r="F74" s="39" t="s">
        <v>78</v>
      </c>
      <c r="G74" s="160"/>
      <c r="H74" s="175"/>
      <c r="I74" s="20"/>
      <c r="J74" s="5"/>
    </row>
    <row r="75" spans="1:10" outlineLevel="2" x14ac:dyDescent="0.2">
      <c r="A75" s="34">
        <v>1</v>
      </c>
      <c r="B75" s="242" t="s">
        <v>544</v>
      </c>
      <c r="C75" s="34">
        <v>6</v>
      </c>
      <c r="D75" s="242" t="s">
        <v>545</v>
      </c>
      <c r="E75" s="34"/>
      <c r="F75" s="39" t="s">
        <v>660</v>
      </c>
      <c r="G75" s="160"/>
      <c r="H75" s="175"/>
      <c r="I75" s="20"/>
      <c r="J75" s="5"/>
    </row>
    <row r="76" spans="1:10" outlineLevel="2" x14ac:dyDescent="0.2">
      <c r="A76" s="34">
        <v>1</v>
      </c>
      <c r="B76" s="242" t="s">
        <v>544</v>
      </c>
      <c r="C76" s="34">
        <v>6</v>
      </c>
      <c r="D76" s="242" t="s">
        <v>548</v>
      </c>
      <c r="E76" s="34"/>
      <c r="F76" s="39" t="s">
        <v>670</v>
      </c>
      <c r="G76" s="160"/>
      <c r="H76" s="175"/>
      <c r="I76" s="20"/>
      <c r="J76" s="5"/>
    </row>
    <row r="77" spans="1:10" outlineLevel="2" collapsed="1" x14ac:dyDescent="0.2">
      <c r="A77" s="34">
        <v>1</v>
      </c>
      <c r="B77" s="242" t="s">
        <v>544</v>
      </c>
      <c r="C77" s="34">
        <v>6</v>
      </c>
      <c r="D77" s="242" t="s">
        <v>549</v>
      </c>
      <c r="E77" s="34"/>
      <c r="F77" s="39" t="s">
        <v>661</v>
      </c>
      <c r="G77" s="163">
        <f>G78</f>
        <v>0</v>
      </c>
      <c r="H77" s="168">
        <f>H78</f>
        <v>0</v>
      </c>
      <c r="I77" s="20"/>
      <c r="J77" s="5"/>
    </row>
    <row r="78" spans="1:10" hidden="1" outlineLevel="3" x14ac:dyDescent="0.2">
      <c r="A78" s="35">
        <v>1</v>
      </c>
      <c r="B78" s="243" t="s">
        <v>544</v>
      </c>
      <c r="C78" s="35">
        <v>6</v>
      </c>
      <c r="D78" s="243" t="s">
        <v>549</v>
      </c>
      <c r="E78" s="243" t="s">
        <v>544</v>
      </c>
      <c r="F78" s="40" t="s">
        <v>671</v>
      </c>
      <c r="G78" s="167"/>
      <c r="H78" s="167"/>
      <c r="I78" s="28"/>
      <c r="J78" s="5"/>
    </row>
    <row r="79" spans="1:10" outlineLevel="2" x14ac:dyDescent="0.2">
      <c r="A79" s="34">
        <v>1</v>
      </c>
      <c r="B79" s="242" t="s">
        <v>544</v>
      </c>
      <c r="C79" s="34">
        <v>6</v>
      </c>
      <c r="D79" s="242" t="s">
        <v>550</v>
      </c>
      <c r="E79" s="34"/>
      <c r="F79" s="39" t="s">
        <v>668</v>
      </c>
      <c r="G79" s="160"/>
      <c r="H79" s="175"/>
      <c r="I79" s="20"/>
      <c r="J79" s="5"/>
    </row>
    <row r="80" spans="1:10" outlineLevel="2" x14ac:dyDescent="0.2">
      <c r="A80" s="34">
        <v>1</v>
      </c>
      <c r="B80" s="242" t="s">
        <v>544</v>
      </c>
      <c r="C80" s="34">
        <v>6</v>
      </c>
      <c r="D80" s="242" t="s">
        <v>556</v>
      </c>
      <c r="E80" s="34"/>
      <c r="F80" s="39" t="s">
        <v>663</v>
      </c>
      <c r="G80" s="160"/>
      <c r="H80" s="175"/>
      <c r="I80" s="20"/>
      <c r="J80" s="5"/>
    </row>
    <row r="81" spans="1:10" outlineLevel="2" x14ac:dyDescent="0.2">
      <c r="A81" s="34">
        <v>2</v>
      </c>
      <c r="B81" s="242" t="s">
        <v>545</v>
      </c>
      <c r="C81" s="34">
        <v>7</v>
      </c>
      <c r="D81" s="242" t="s">
        <v>557</v>
      </c>
      <c r="E81" s="34"/>
      <c r="F81" s="39" t="s">
        <v>1040</v>
      </c>
      <c r="G81" s="160"/>
      <c r="H81" s="175"/>
      <c r="I81" s="20"/>
      <c r="J81" s="5"/>
    </row>
    <row r="82" spans="1:10" outlineLevel="2" x14ac:dyDescent="0.2">
      <c r="A82" s="34">
        <v>3</v>
      </c>
      <c r="B82" s="242" t="s">
        <v>548</v>
      </c>
      <c r="C82" s="34">
        <v>8</v>
      </c>
      <c r="D82" s="242" t="s">
        <v>558</v>
      </c>
      <c r="E82" s="34"/>
      <c r="F82" s="39" t="s">
        <v>1041</v>
      </c>
      <c r="G82" s="160"/>
      <c r="H82" s="175"/>
      <c r="I82" s="20"/>
      <c r="J82" s="5"/>
    </row>
    <row r="83" spans="1:10" outlineLevel="2" x14ac:dyDescent="0.2">
      <c r="A83" s="34">
        <v>4</v>
      </c>
      <c r="B83" s="242" t="s">
        <v>549</v>
      </c>
      <c r="C83" s="34">
        <v>9</v>
      </c>
      <c r="D83" s="242" t="s">
        <v>560</v>
      </c>
      <c r="E83" s="34"/>
      <c r="F83" s="39" t="s">
        <v>1042</v>
      </c>
      <c r="G83" s="160"/>
      <c r="H83" s="175"/>
      <c r="I83" s="20"/>
      <c r="J83" s="5"/>
    </row>
    <row r="84" spans="1:10" ht="22.5" outlineLevel="2" x14ac:dyDescent="0.2">
      <c r="A84" s="34">
        <v>5</v>
      </c>
      <c r="B84" s="242" t="s">
        <v>550</v>
      </c>
      <c r="C84" s="34">
        <v>10</v>
      </c>
      <c r="D84" s="242" t="s">
        <v>629</v>
      </c>
      <c r="E84" s="34"/>
      <c r="F84" s="39" t="s">
        <v>1043</v>
      </c>
      <c r="G84" s="160"/>
      <c r="H84" s="175"/>
      <c r="I84" s="20"/>
      <c r="J84" s="5"/>
    </row>
    <row r="85" spans="1:10" outlineLevel="2" x14ac:dyDescent="0.2">
      <c r="A85" s="34">
        <v>6</v>
      </c>
      <c r="B85" s="242" t="s">
        <v>552</v>
      </c>
      <c r="C85" s="34">
        <v>11</v>
      </c>
      <c r="D85" s="242" t="s">
        <v>630</v>
      </c>
      <c r="E85" s="34"/>
      <c r="F85" s="39" t="s">
        <v>1044</v>
      </c>
      <c r="G85" s="160"/>
      <c r="H85" s="175"/>
      <c r="I85" s="20"/>
      <c r="J85" s="5"/>
    </row>
    <row r="86" spans="1:10" outlineLevel="2" x14ac:dyDescent="0.2">
      <c r="A86" s="34">
        <v>1</v>
      </c>
      <c r="B86" s="242" t="s">
        <v>544</v>
      </c>
      <c r="C86" s="34">
        <v>6</v>
      </c>
      <c r="D86" s="242" t="s">
        <v>557</v>
      </c>
      <c r="E86" s="34"/>
      <c r="F86" s="39" t="s">
        <v>672</v>
      </c>
      <c r="G86" s="160"/>
      <c r="H86" s="175"/>
      <c r="I86" s="20"/>
      <c r="J86" s="5"/>
    </row>
    <row r="87" spans="1:10" ht="12" outlineLevel="2" thickBot="1" x14ac:dyDescent="0.25">
      <c r="A87" s="34">
        <v>1</v>
      </c>
      <c r="B87" s="242" t="s">
        <v>544</v>
      </c>
      <c r="C87" s="34">
        <v>6</v>
      </c>
      <c r="D87" s="34"/>
      <c r="E87" s="34"/>
      <c r="F87" s="3"/>
      <c r="G87" s="160"/>
      <c r="H87" s="175"/>
      <c r="I87" s="20"/>
      <c r="J87" s="5"/>
    </row>
    <row r="88" spans="1:10" ht="12.75" collapsed="1" thickTop="1" thickBot="1" x14ac:dyDescent="0.25">
      <c r="A88" s="31">
        <v>2</v>
      </c>
      <c r="B88" s="244"/>
      <c r="C88" s="31"/>
      <c r="D88" s="31"/>
      <c r="E88" s="31"/>
      <c r="F88" s="36" t="s">
        <v>7</v>
      </c>
      <c r="G88" s="155">
        <f>G89+G92+G93+G96+G99+G100+G102</f>
        <v>0</v>
      </c>
      <c r="H88" s="155">
        <f>H89+H92+H93+H96+H99+H100+H102</f>
        <v>0</v>
      </c>
      <c r="I88" s="21"/>
    </row>
    <row r="89" spans="1:10" ht="12" hidden="1" outlineLevel="1" thickBot="1" x14ac:dyDescent="0.25">
      <c r="A89" s="32">
        <v>2</v>
      </c>
      <c r="B89" s="240" t="s">
        <v>543</v>
      </c>
      <c r="C89" s="32"/>
      <c r="D89" s="32"/>
      <c r="E89" s="32"/>
      <c r="F89" s="37" t="s">
        <v>91</v>
      </c>
      <c r="G89" s="156">
        <f>SUM(G90:G91)</f>
        <v>0</v>
      </c>
      <c r="H89" s="162">
        <f>SUM(H90:H91)</f>
        <v>0</v>
      </c>
      <c r="I89" s="13"/>
    </row>
    <row r="90" spans="1:10" hidden="1" outlineLevel="2" x14ac:dyDescent="0.2">
      <c r="A90" s="33">
        <v>2</v>
      </c>
      <c r="B90" s="241" t="s">
        <v>543</v>
      </c>
      <c r="C90" s="33">
        <v>1</v>
      </c>
      <c r="D90" s="33"/>
      <c r="E90" s="33"/>
      <c r="F90" s="38" t="s">
        <v>8</v>
      </c>
      <c r="G90" s="173"/>
      <c r="H90" s="174"/>
      <c r="I90" s="18"/>
    </row>
    <row r="91" spans="1:10" ht="12" hidden="1" outlineLevel="2" thickBot="1" x14ac:dyDescent="0.25">
      <c r="A91" s="33">
        <v>2</v>
      </c>
      <c r="B91" s="241" t="s">
        <v>543</v>
      </c>
      <c r="C91" s="33">
        <v>2</v>
      </c>
      <c r="D91" s="33"/>
      <c r="E91" s="33"/>
      <c r="F91" s="38" t="s">
        <v>92</v>
      </c>
      <c r="G91" s="173"/>
      <c r="H91" s="174"/>
      <c r="I91" s="18"/>
    </row>
    <row r="92" spans="1:10" ht="12" hidden="1" outlineLevel="1" thickBot="1" x14ac:dyDescent="0.25">
      <c r="A92" s="32">
        <v>2</v>
      </c>
      <c r="B92" s="240" t="s">
        <v>545</v>
      </c>
      <c r="C92" s="32"/>
      <c r="D92" s="32"/>
      <c r="E92" s="32"/>
      <c r="F92" s="37" t="s">
        <v>13</v>
      </c>
      <c r="G92" s="176"/>
      <c r="H92" s="177"/>
      <c r="I92" s="13"/>
    </row>
    <row r="93" spans="1:10" ht="12" hidden="1" outlineLevel="1" thickBot="1" x14ac:dyDescent="0.25">
      <c r="A93" s="32">
        <v>2</v>
      </c>
      <c r="B93" s="240" t="s">
        <v>549</v>
      </c>
      <c r="C93" s="32"/>
      <c r="D93" s="32"/>
      <c r="E93" s="32"/>
      <c r="F93" s="37" t="s">
        <v>9</v>
      </c>
      <c r="G93" s="156">
        <f>SUM(G94:G95)</f>
        <v>0</v>
      </c>
      <c r="H93" s="162">
        <f>SUM(H94:H95)</f>
        <v>0</v>
      </c>
      <c r="I93" s="13"/>
    </row>
    <row r="94" spans="1:10" hidden="1" outlineLevel="2" x14ac:dyDescent="0.2">
      <c r="A94" s="33">
        <v>2</v>
      </c>
      <c r="B94" s="241" t="s">
        <v>549</v>
      </c>
      <c r="C94" s="33">
        <v>1</v>
      </c>
      <c r="D94" s="33"/>
      <c r="E94" s="33"/>
      <c r="F94" s="38" t="s">
        <v>728</v>
      </c>
      <c r="G94" s="178"/>
      <c r="H94" s="179"/>
      <c r="I94" s="18"/>
      <c r="J94" s="5"/>
    </row>
    <row r="95" spans="1:10" ht="12" hidden="1" outlineLevel="2" thickBot="1" x14ac:dyDescent="0.25">
      <c r="A95" s="33">
        <v>2</v>
      </c>
      <c r="B95" s="241" t="s">
        <v>549</v>
      </c>
      <c r="C95" s="33">
        <v>2</v>
      </c>
      <c r="D95" s="33"/>
      <c r="E95" s="33"/>
      <c r="F95" s="38" t="s">
        <v>729</v>
      </c>
      <c r="G95" s="178"/>
      <c r="H95" s="179"/>
      <c r="I95" s="18"/>
      <c r="J95" s="5"/>
    </row>
    <row r="96" spans="1:10" ht="12" hidden="1" outlineLevel="1" thickBot="1" x14ac:dyDescent="0.25">
      <c r="A96" s="32">
        <v>2</v>
      </c>
      <c r="B96" s="240" t="s">
        <v>556</v>
      </c>
      <c r="C96" s="32"/>
      <c r="D96" s="32"/>
      <c r="E96" s="32"/>
      <c r="F96" s="37" t="s">
        <v>10</v>
      </c>
      <c r="G96" s="156">
        <f>+SUM(G97:G98)</f>
        <v>0</v>
      </c>
      <c r="H96" s="162">
        <f>+SUM(H97:H98)</f>
        <v>0</v>
      </c>
      <c r="I96" s="13"/>
    </row>
    <row r="97" spans="1:10" hidden="1" outlineLevel="2" x14ac:dyDescent="0.2">
      <c r="A97" s="33">
        <v>2</v>
      </c>
      <c r="B97" s="241" t="s">
        <v>556</v>
      </c>
      <c r="C97" s="33">
        <v>1</v>
      </c>
      <c r="D97" s="33"/>
      <c r="E97" s="33"/>
      <c r="F97" s="38" t="s">
        <v>11</v>
      </c>
      <c r="G97" s="173"/>
      <c r="H97" s="174"/>
      <c r="I97" s="18"/>
    </row>
    <row r="98" spans="1:10" ht="12" hidden="1" outlineLevel="2" thickBot="1" x14ac:dyDescent="0.25">
      <c r="A98" s="33">
        <v>2</v>
      </c>
      <c r="B98" s="241" t="s">
        <v>556</v>
      </c>
      <c r="C98" s="33">
        <v>2</v>
      </c>
      <c r="D98" s="33"/>
      <c r="E98" s="33"/>
      <c r="F98" s="38" t="s">
        <v>12</v>
      </c>
      <c r="G98" s="173"/>
      <c r="H98" s="174"/>
      <c r="I98" s="18"/>
    </row>
    <row r="99" spans="1:10" ht="12" hidden="1" outlineLevel="1" thickBot="1" x14ac:dyDescent="0.25">
      <c r="A99" s="32">
        <v>2</v>
      </c>
      <c r="B99" s="240" t="s">
        <v>557</v>
      </c>
      <c r="C99" s="32"/>
      <c r="D99" s="32"/>
      <c r="E99" s="32"/>
      <c r="F99" s="37" t="s">
        <v>93</v>
      </c>
      <c r="G99" s="176"/>
      <c r="H99" s="177"/>
      <c r="I99" s="13"/>
    </row>
    <row r="100" spans="1:10" ht="12" hidden="1" outlineLevel="1" thickBot="1" x14ac:dyDescent="0.25">
      <c r="A100" s="32">
        <v>2</v>
      </c>
      <c r="B100" s="240">
        <v>12</v>
      </c>
      <c r="C100" s="32"/>
      <c r="D100" s="32"/>
      <c r="E100" s="32"/>
      <c r="F100" s="37" t="s">
        <v>668</v>
      </c>
      <c r="G100" s="180">
        <f>G101</f>
        <v>0</v>
      </c>
      <c r="H100" s="181">
        <f>H101</f>
        <v>0</v>
      </c>
      <c r="I100" s="13"/>
      <c r="J100" s="5"/>
    </row>
    <row r="101" spans="1:10" ht="12" hidden="1" outlineLevel="2" thickBot="1" x14ac:dyDescent="0.25">
      <c r="A101" s="33">
        <v>2</v>
      </c>
      <c r="B101" s="241">
        <v>12</v>
      </c>
      <c r="C101" s="33">
        <v>1</v>
      </c>
      <c r="D101" s="33"/>
      <c r="E101" s="33"/>
      <c r="F101" s="38" t="s">
        <v>14</v>
      </c>
      <c r="G101" s="178"/>
      <c r="H101" s="179"/>
      <c r="I101" s="18"/>
      <c r="J101" s="5"/>
    </row>
    <row r="102" spans="1:10" ht="12" hidden="1" outlineLevel="1" thickBot="1" x14ac:dyDescent="0.25">
      <c r="A102" s="32">
        <v>2</v>
      </c>
      <c r="B102" s="240">
        <v>13</v>
      </c>
      <c r="C102" s="32"/>
      <c r="D102" s="32"/>
      <c r="E102" s="32"/>
      <c r="F102" s="41" t="s">
        <v>15</v>
      </c>
      <c r="G102" s="176"/>
      <c r="H102" s="182"/>
      <c r="I102" s="56"/>
    </row>
    <row r="103" spans="1:10" ht="15.75" hidden="1" customHeight="1" outlineLevel="1" thickBot="1" x14ac:dyDescent="0.25">
      <c r="A103" s="693" t="s">
        <v>732</v>
      </c>
      <c r="B103" s="694"/>
      <c r="C103" s="694"/>
      <c r="D103" s="694"/>
      <c r="E103" s="694"/>
      <c r="F103" s="695"/>
      <c r="G103" s="183">
        <f>G29+G88</f>
        <v>32117729924</v>
      </c>
      <c r="H103" s="183">
        <f>H29+H88</f>
        <v>70532798000</v>
      </c>
      <c r="I103" s="57"/>
    </row>
    <row r="104" spans="1:10" x14ac:dyDescent="0.2">
      <c r="B104" s="1"/>
      <c r="C104" s="1"/>
      <c r="D104" s="1"/>
      <c r="E104" s="1"/>
      <c r="F104" s="1"/>
      <c r="G104" s="1"/>
      <c r="H104" s="1"/>
      <c r="I104" s="1"/>
    </row>
    <row r="105" spans="1:10" x14ac:dyDescent="0.2">
      <c r="B105" s="1"/>
      <c r="C105" s="1"/>
      <c r="D105" s="1"/>
      <c r="E105" s="1"/>
      <c r="F105" s="1"/>
      <c r="G105" s="1"/>
      <c r="H105" s="1"/>
      <c r="I105" s="1"/>
    </row>
    <row r="106" spans="1:10" x14ac:dyDescent="0.2">
      <c r="B106" s="1"/>
      <c r="C106" s="1"/>
      <c r="D106" s="1"/>
      <c r="E106" s="1"/>
      <c r="F106" s="1"/>
      <c r="G106" s="1"/>
      <c r="H106" s="1"/>
      <c r="I106" s="1"/>
    </row>
    <row r="107" spans="1:10" ht="12" thickBot="1" x14ac:dyDescent="0.25">
      <c r="B107" s="1"/>
      <c r="C107" s="1"/>
      <c r="D107" s="1"/>
      <c r="E107" s="1"/>
      <c r="F107" s="5" t="s">
        <v>24</v>
      </c>
      <c r="G107" s="1"/>
      <c r="H107" s="1"/>
      <c r="I107" s="1"/>
    </row>
    <row r="108" spans="1:10" ht="24" thickTop="1" thickBot="1" x14ac:dyDescent="0.25">
      <c r="B108" s="1"/>
      <c r="C108" s="1"/>
      <c r="D108" s="1"/>
      <c r="E108" s="1"/>
      <c r="F108" s="68" t="s">
        <v>17</v>
      </c>
      <c r="G108" s="68" t="s">
        <v>18</v>
      </c>
      <c r="H108" s="68" t="s">
        <v>19</v>
      </c>
      <c r="I108" s="1"/>
    </row>
    <row r="109" spans="1:10" x14ac:dyDescent="0.2">
      <c r="B109" s="1"/>
      <c r="C109" s="1"/>
      <c r="D109" s="1"/>
      <c r="E109" s="1"/>
      <c r="F109" s="69" t="s">
        <v>120</v>
      </c>
      <c r="G109" s="58">
        <f>G110+G111</f>
        <v>32117729924</v>
      </c>
      <c r="H109" s="58">
        <f>H110+H111</f>
        <v>70532798000</v>
      </c>
      <c r="I109" s="1"/>
    </row>
    <row r="110" spans="1:10" x14ac:dyDescent="0.2">
      <c r="B110" s="1"/>
      <c r="C110" s="1"/>
      <c r="D110" s="1"/>
      <c r="E110" s="1"/>
      <c r="F110" s="70" t="s">
        <v>25</v>
      </c>
      <c r="G110" s="59">
        <f>+G29</f>
        <v>32117729924</v>
      </c>
      <c r="H110" s="59">
        <f>+H29</f>
        <v>70532798000</v>
      </c>
      <c r="I110" s="1"/>
    </row>
    <row r="111" spans="1:10" x14ac:dyDescent="0.2">
      <c r="B111" s="1"/>
      <c r="C111" s="1"/>
      <c r="D111" s="1"/>
      <c r="E111" s="1"/>
      <c r="F111" s="71" t="s">
        <v>26</v>
      </c>
      <c r="G111" s="60">
        <f>+G88</f>
        <v>0</v>
      </c>
      <c r="H111" s="60">
        <f>+H88</f>
        <v>0</v>
      </c>
      <c r="I111" s="1"/>
    </row>
    <row r="112" spans="1:10" x14ac:dyDescent="0.2">
      <c r="B112" s="1"/>
      <c r="C112" s="1"/>
      <c r="D112" s="1"/>
      <c r="E112" s="1"/>
      <c r="F112" s="1"/>
      <c r="G112" s="1"/>
      <c r="H112" s="1"/>
      <c r="I112" s="1"/>
    </row>
    <row r="113" spans="2:9" x14ac:dyDescent="0.2">
      <c r="B113" s="1"/>
      <c r="C113" s="1"/>
      <c r="D113" s="1"/>
      <c r="E113" s="1"/>
      <c r="F113" s="1"/>
      <c r="G113" s="1"/>
      <c r="H113" s="1"/>
      <c r="I113" s="1"/>
    </row>
    <row r="114" spans="2:9" s="1" customFormat="1" x14ac:dyDescent="0.2"/>
    <row r="115" spans="2:9" s="1" customFormat="1" x14ac:dyDescent="0.2"/>
    <row r="116" spans="2:9" s="1" customFormat="1" x14ac:dyDescent="0.2"/>
    <row r="117" spans="2:9" s="1" customFormat="1" x14ac:dyDescent="0.2"/>
    <row r="118" spans="2:9" s="1" customFormat="1" x14ac:dyDescent="0.2"/>
    <row r="119" spans="2:9" s="1" customFormat="1" x14ac:dyDescent="0.2"/>
    <row r="120" spans="2:9" s="1" customFormat="1" x14ac:dyDescent="0.2"/>
    <row r="121" spans="2:9" s="1" customFormat="1" x14ac:dyDescent="0.2"/>
    <row r="122" spans="2:9" s="1" customFormat="1" x14ac:dyDescent="0.2"/>
    <row r="123" spans="2:9" s="1" customFormat="1" x14ac:dyDescent="0.2"/>
    <row r="124" spans="2:9" s="1" customFormat="1" x14ac:dyDescent="0.2"/>
    <row r="125" spans="2:9" s="1" customFormat="1" x14ac:dyDescent="0.2"/>
    <row r="126" spans="2:9" s="1" customFormat="1" x14ac:dyDescent="0.2"/>
    <row r="127" spans="2:9" s="1" customFormat="1" x14ac:dyDescent="0.2"/>
    <row r="128" spans="2:9"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sheetData>
  <sheetProtection algorithmName="SHA-512" hashValue="1mAs4XjSH/zQmH5elO71EIr8Pk7Q11b8f9YrBx1np8QSvkvnDXfaqXaUG7zu/bXi2LGMdAUD3e8KcCso9/LOiQ==" saltValue="WzIwEYLxDjqv/qPUdX9Tiw==" spinCount="100000" sheet="1" objects="1" scenarios="1" selectLockedCells="1"/>
  <mergeCells count="18">
    <mergeCell ref="A103:F103"/>
    <mergeCell ref="F7:H7"/>
    <mergeCell ref="B5:E5"/>
    <mergeCell ref="B6:E6"/>
    <mergeCell ref="B7:E7"/>
    <mergeCell ref="B8:E8"/>
    <mergeCell ref="A27:E27"/>
    <mergeCell ref="F9:H9"/>
    <mergeCell ref="B1:I1"/>
    <mergeCell ref="B2:I2"/>
    <mergeCell ref="B3:I3"/>
    <mergeCell ref="F5:H5"/>
    <mergeCell ref="F6:H6"/>
    <mergeCell ref="I27:I28"/>
    <mergeCell ref="C11:F11"/>
    <mergeCell ref="F27:F28"/>
    <mergeCell ref="G27:G28"/>
    <mergeCell ref="H27:H28"/>
  </mergeCells>
  <phoneticPr fontId="12" type="noConversion"/>
  <dataValidations disablePrompts="1" count="1">
    <dataValidation type="list" errorStyle="warning" showDropDown="1" showInputMessage="1" showErrorMessage="1" error="No puede cambiar esta casilla." sqref="F5" xr:uid="{00000000-0002-0000-0200-000000000000}">
      <formula1>Fondos</formula1>
    </dataValidation>
  </dataValidations>
  <pageMargins left="0.78740157480314965" right="0.19685039370078741" top="0.59055118110236227" bottom="0.39370078740157483" header="0.31496062992125984" footer="0.31496062992125984"/>
  <pageSetup scale="60" orientation="landscape" r:id="rId1"/>
  <drawing r:id="rId2"/>
  <legacyDrawing r:id="rId3"/>
  <extLst>
    <ext xmlns:x14="http://schemas.microsoft.com/office/spreadsheetml/2009/9/main" uri="{CCE6A557-97BC-4b89-ADB6-D9C93CAAB3DF}">
      <x14:dataValidations xmlns:xm="http://schemas.microsoft.com/office/excel/2006/main" disablePrompts="1" count="10">
        <x14:dataValidation type="list" allowBlank="1" showInputMessage="1" showErrorMessage="1" xr:uid="{00000000-0002-0000-0200-000001000000}">
          <x14:formula1>
            <xm:f>DESPLEGABLES!$G$2:$G$6</xm:f>
          </x14:formula1>
          <xm:sqref>F32:F36</xm:sqref>
        </x14:dataValidation>
        <x14:dataValidation type="list" allowBlank="1" showInputMessage="1" showErrorMessage="1" xr:uid="{00000000-0002-0000-0200-000002000000}">
          <x14:formula1>
            <xm:f>DESPLEGABLES!$M$13:$M$14</xm:f>
          </x14:formula1>
          <xm:sqref>F45:F46</xm:sqref>
        </x14:dataValidation>
        <x14:dataValidation type="list" allowBlank="1" showInputMessage="1" showErrorMessage="1" xr:uid="{00000000-0002-0000-0200-000003000000}">
          <x14:formula1>
            <xm:f>DESPLEGABLES!$A$2:$A$198</xm:f>
          </x14:formula1>
          <xm:sqref>F6:H6</xm:sqref>
        </x14:dataValidation>
        <x14:dataValidation type="list" allowBlank="1" showInputMessage="1" showErrorMessage="1" xr:uid="{00000000-0002-0000-0200-000004000000}">
          <x14:formula1>
            <xm:f>DESPLEGABLES!$D$2:$D$64</xm:f>
          </x14:formula1>
          <xm:sqref>F8</xm:sqref>
        </x14:dataValidation>
        <x14:dataValidation type="list" allowBlank="1" showInputMessage="1" showErrorMessage="1" xr:uid="{00000000-0002-0000-0200-000005000000}">
          <x14:formula1>
            <xm:f>DESPLEGABLES!$M$2:$M$3</xm:f>
          </x14:formula1>
          <xm:sqref>F40:F41</xm:sqref>
        </x14:dataValidation>
        <x14:dataValidation type="list" allowBlank="1" showInputMessage="1" showErrorMessage="1" xr:uid="{00000000-0002-0000-0200-000006000000}">
          <x14:formula1>
            <xm:f>DESPLEGABLES!$M$7:$M$8</xm:f>
          </x14:formula1>
          <xm:sqref>F43</xm:sqref>
        </x14:dataValidation>
        <x14:dataValidation type="list" allowBlank="1" showInputMessage="1" showErrorMessage="1" xr:uid="{00000000-0002-0000-0200-000007000000}">
          <x14:formula1>
            <xm:f>DESPLEGABLES!$AB$2</xm:f>
          </x14:formula1>
          <xm:sqref>F68</xm:sqref>
        </x14:dataValidation>
        <x14:dataValidation type="list" allowBlank="1" showInputMessage="1" showErrorMessage="1" xr:uid="{00000000-0002-0000-0200-000008000000}">
          <x14:formula1>
            <xm:f>DESPLEGABLES!$G$14:$G$21</xm:f>
          </x14:formula1>
          <xm:sqref>F63:F65</xm:sqref>
        </x14:dataValidation>
        <x14:dataValidation type="list" allowBlank="1" showInputMessage="1" showErrorMessage="1" xr:uid="{00000000-0002-0000-0200-000009000000}">
          <x14:formula1>
            <xm:f>DESPLEGABLES!$P$2:$P$35</xm:f>
          </x14:formula1>
          <xm:sqref>F48:F52</xm:sqref>
        </x14:dataValidation>
        <x14:dataValidation type="list" allowBlank="1" showInputMessage="1" showErrorMessage="1" xr:uid="{00000000-0002-0000-0200-00000A000000}">
          <x14:formula1>
            <xm:f>DESPLEGABLES!$V$68:$V$80</xm:f>
          </x14:formula1>
          <xm:sqref>F55:F59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F527-7396-409A-A5B2-FE42274F3005}">
  <dimension ref="A1:P110"/>
  <sheetViews>
    <sheetView zoomScale="80" zoomScaleNormal="80" workbookViewId="0">
      <selection activeCell="E25" sqref="E25"/>
    </sheetView>
  </sheetViews>
  <sheetFormatPr baseColWidth="10" defaultColWidth="13.42578125" defaultRowHeight="11.25" x14ac:dyDescent="0.2"/>
  <cols>
    <col min="1" max="1" width="34.85546875" style="2" customWidth="1"/>
    <col min="2" max="2" width="19.7109375" style="2" customWidth="1"/>
    <col min="3" max="3" width="9.5703125" style="2" customWidth="1"/>
    <col min="4" max="4" width="9.85546875" style="2" customWidth="1"/>
    <col min="5" max="5" width="10.5703125" style="2" bestFit="1" customWidth="1"/>
    <col min="6" max="6" width="9.85546875" style="2" customWidth="1"/>
    <col min="7" max="7" width="9.140625" style="2" customWidth="1"/>
    <col min="8" max="8" width="10.5703125" style="2" bestFit="1" customWidth="1"/>
    <col min="9" max="9" width="14.7109375" style="2" customWidth="1"/>
    <col min="10" max="10" width="9.85546875" style="2" customWidth="1"/>
    <col min="11" max="11" width="9.5703125" style="2" bestFit="1" customWidth="1"/>
    <col min="12" max="12" width="11.140625" style="2" customWidth="1"/>
    <col min="13" max="13" width="8.5703125" style="2" bestFit="1" customWidth="1"/>
    <col min="14" max="14" width="14.42578125" style="2" customWidth="1"/>
    <col min="15" max="15" width="15.5703125" style="2" customWidth="1"/>
    <col min="16" max="256" width="13.42578125" style="2"/>
    <col min="257" max="257" width="34.85546875" style="2" customWidth="1"/>
    <col min="258" max="258" width="12.7109375" style="2" customWidth="1"/>
    <col min="259" max="259" width="9.5703125" style="2" customWidth="1"/>
    <col min="260" max="260" width="9.85546875" style="2" customWidth="1"/>
    <col min="261" max="261" width="10.5703125" style="2" bestFit="1" customWidth="1"/>
    <col min="262" max="262" width="9.85546875" style="2" customWidth="1"/>
    <col min="263" max="263" width="9.140625" style="2" customWidth="1"/>
    <col min="264" max="264" width="10.5703125" style="2" bestFit="1" customWidth="1"/>
    <col min="265" max="265" width="14.7109375" style="2" customWidth="1"/>
    <col min="266" max="266" width="9.85546875" style="2" customWidth="1"/>
    <col min="267" max="267" width="9.5703125" style="2" bestFit="1" customWidth="1"/>
    <col min="268" max="268" width="11.140625" style="2" customWidth="1"/>
    <col min="269" max="269" width="8.5703125" style="2" bestFit="1" customWidth="1"/>
    <col min="270" max="270" width="14.42578125" style="2" customWidth="1"/>
    <col min="271" max="271" width="14.28515625" style="2" bestFit="1" customWidth="1"/>
    <col min="272" max="512" width="13.42578125" style="2"/>
    <col min="513" max="513" width="34.85546875" style="2" customWidth="1"/>
    <col min="514" max="514" width="12.7109375" style="2" customWidth="1"/>
    <col min="515" max="515" width="9.5703125" style="2" customWidth="1"/>
    <col min="516" max="516" width="9.85546875" style="2" customWidth="1"/>
    <col min="517" max="517" width="10.5703125" style="2" bestFit="1" customWidth="1"/>
    <col min="518" max="518" width="9.85546875" style="2" customWidth="1"/>
    <col min="519" max="519" width="9.140625" style="2" customWidth="1"/>
    <col min="520" max="520" width="10.5703125" style="2" bestFit="1" customWidth="1"/>
    <col min="521" max="521" width="14.7109375" style="2" customWidth="1"/>
    <col min="522" max="522" width="9.85546875" style="2" customWidth="1"/>
    <col min="523" max="523" width="9.5703125" style="2" bestFit="1" customWidth="1"/>
    <col min="524" max="524" width="11.140625" style="2" customWidth="1"/>
    <col min="525" max="525" width="8.5703125" style="2" bestFit="1" customWidth="1"/>
    <col min="526" max="526" width="14.42578125" style="2" customWidth="1"/>
    <col min="527" max="527" width="14.28515625" style="2" bestFit="1" customWidth="1"/>
    <col min="528" max="768" width="13.42578125" style="2"/>
    <col min="769" max="769" width="34.85546875" style="2" customWidth="1"/>
    <col min="770" max="770" width="12.7109375" style="2" customWidth="1"/>
    <col min="771" max="771" width="9.5703125" style="2" customWidth="1"/>
    <col min="772" max="772" width="9.85546875" style="2" customWidth="1"/>
    <col min="773" max="773" width="10.5703125" style="2" bestFit="1" customWidth="1"/>
    <col min="774" max="774" width="9.85546875" style="2" customWidth="1"/>
    <col min="775" max="775" width="9.140625" style="2" customWidth="1"/>
    <col min="776" max="776" width="10.5703125" style="2" bestFit="1" customWidth="1"/>
    <col min="777" max="777" width="14.7109375" style="2" customWidth="1"/>
    <col min="778" max="778" width="9.85546875" style="2" customWidth="1"/>
    <col min="779" max="779" width="9.5703125" style="2" bestFit="1" customWidth="1"/>
    <col min="780" max="780" width="11.140625" style="2" customWidth="1"/>
    <col min="781" max="781" width="8.5703125" style="2" bestFit="1" customWidth="1"/>
    <col min="782" max="782" width="14.42578125" style="2" customWidth="1"/>
    <col min="783" max="783" width="14.28515625" style="2" bestFit="1" customWidth="1"/>
    <col min="784" max="1024" width="13.42578125" style="2"/>
    <col min="1025" max="1025" width="34.85546875" style="2" customWidth="1"/>
    <col min="1026" max="1026" width="12.7109375" style="2" customWidth="1"/>
    <col min="1027" max="1027" width="9.5703125" style="2" customWidth="1"/>
    <col min="1028" max="1028" width="9.85546875" style="2" customWidth="1"/>
    <col min="1029" max="1029" width="10.5703125" style="2" bestFit="1" customWidth="1"/>
    <col min="1030" max="1030" width="9.85546875" style="2" customWidth="1"/>
    <col min="1031" max="1031" width="9.140625" style="2" customWidth="1"/>
    <col min="1032" max="1032" width="10.5703125" style="2" bestFit="1" customWidth="1"/>
    <col min="1033" max="1033" width="14.7109375" style="2" customWidth="1"/>
    <col min="1034" max="1034" width="9.85546875" style="2" customWidth="1"/>
    <col min="1035" max="1035" width="9.5703125" style="2" bestFit="1" customWidth="1"/>
    <col min="1036" max="1036" width="11.140625" style="2" customWidth="1"/>
    <col min="1037" max="1037" width="8.5703125" style="2" bestFit="1" customWidth="1"/>
    <col min="1038" max="1038" width="14.42578125" style="2" customWidth="1"/>
    <col min="1039" max="1039" width="14.28515625" style="2" bestFit="1" customWidth="1"/>
    <col min="1040" max="1280" width="13.42578125" style="2"/>
    <col min="1281" max="1281" width="34.85546875" style="2" customWidth="1"/>
    <col min="1282" max="1282" width="12.7109375" style="2" customWidth="1"/>
    <col min="1283" max="1283" width="9.5703125" style="2" customWidth="1"/>
    <col min="1284" max="1284" width="9.85546875" style="2" customWidth="1"/>
    <col min="1285" max="1285" width="10.5703125" style="2" bestFit="1" customWidth="1"/>
    <col min="1286" max="1286" width="9.85546875" style="2" customWidth="1"/>
    <col min="1287" max="1287" width="9.140625" style="2" customWidth="1"/>
    <col min="1288" max="1288" width="10.5703125" style="2" bestFit="1" customWidth="1"/>
    <col min="1289" max="1289" width="14.7109375" style="2" customWidth="1"/>
    <col min="1290" max="1290" width="9.85546875" style="2" customWidth="1"/>
    <col min="1291" max="1291" width="9.5703125" style="2" bestFit="1" customWidth="1"/>
    <col min="1292" max="1292" width="11.140625" style="2" customWidth="1"/>
    <col min="1293" max="1293" width="8.5703125" style="2" bestFit="1" customWidth="1"/>
    <col min="1294" max="1294" width="14.42578125" style="2" customWidth="1"/>
    <col min="1295" max="1295" width="14.28515625" style="2" bestFit="1" customWidth="1"/>
    <col min="1296" max="1536" width="13.42578125" style="2"/>
    <col min="1537" max="1537" width="34.85546875" style="2" customWidth="1"/>
    <col min="1538" max="1538" width="12.7109375" style="2" customWidth="1"/>
    <col min="1539" max="1539" width="9.5703125" style="2" customWidth="1"/>
    <col min="1540" max="1540" width="9.85546875" style="2" customWidth="1"/>
    <col min="1541" max="1541" width="10.5703125" style="2" bestFit="1" customWidth="1"/>
    <col min="1542" max="1542" width="9.85546875" style="2" customWidth="1"/>
    <col min="1543" max="1543" width="9.140625" style="2" customWidth="1"/>
    <col min="1544" max="1544" width="10.5703125" style="2" bestFit="1" customWidth="1"/>
    <col min="1545" max="1545" width="14.7109375" style="2" customWidth="1"/>
    <col min="1546" max="1546" width="9.85546875" style="2" customWidth="1"/>
    <col min="1547" max="1547" width="9.5703125" style="2" bestFit="1" customWidth="1"/>
    <col min="1548" max="1548" width="11.140625" style="2" customWidth="1"/>
    <col min="1549" max="1549" width="8.5703125" style="2" bestFit="1" customWidth="1"/>
    <col min="1550" max="1550" width="14.42578125" style="2" customWidth="1"/>
    <col min="1551" max="1551" width="14.28515625" style="2" bestFit="1" customWidth="1"/>
    <col min="1552" max="1792" width="13.42578125" style="2"/>
    <col min="1793" max="1793" width="34.85546875" style="2" customWidth="1"/>
    <col min="1794" max="1794" width="12.7109375" style="2" customWidth="1"/>
    <col min="1795" max="1795" width="9.5703125" style="2" customWidth="1"/>
    <col min="1796" max="1796" width="9.85546875" style="2" customWidth="1"/>
    <col min="1797" max="1797" width="10.5703125" style="2" bestFit="1" customWidth="1"/>
    <col min="1798" max="1798" width="9.85546875" style="2" customWidth="1"/>
    <col min="1799" max="1799" width="9.140625" style="2" customWidth="1"/>
    <col min="1800" max="1800" width="10.5703125" style="2" bestFit="1" customWidth="1"/>
    <col min="1801" max="1801" width="14.7109375" style="2" customWidth="1"/>
    <col min="1802" max="1802" width="9.85546875" style="2" customWidth="1"/>
    <col min="1803" max="1803" width="9.5703125" style="2" bestFit="1" customWidth="1"/>
    <col min="1804" max="1804" width="11.140625" style="2" customWidth="1"/>
    <col min="1805" max="1805" width="8.5703125" style="2" bestFit="1" customWidth="1"/>
    <col min="1806" max="1806" width="14.42578125" style="2" customWidth="1"/>
    <col min="1807" max="1807" width="14.28515625" style="2" bestFit="1" customWidth="1"/>
    <col min="1808" max="2048" width="13.42578125" style="2"/>
    <col min="2049" max="2049" width="34.85546875" style="2" customWidth="1"/>
    <col min="2050" max="2050" width="12.7109375" style="2" customWidth="1"/>
    <col min="2051" max="2051" width="9.5703125" style="2" customWidth="1"/>
    <col min="2052" max="2052" width="9.85546875" style="2" customWidth="1"/>
    <col min="2053" max="2053" width="10.5703125" style="2" bestFit="1" customWidth="1"/>
    <col min="2054" max="2054" width="9.85546875" style="2" customWidth="1"/>
    <col min="2055" max="2055" width="9.140625" style="2" customWidth="1"/>
    <col min="2056" max="2056" width="10.5703125" style="2" bestFit="1" customWidth="1"/>
    <col min="2057" max="2057" width="14.7109375" style="2" customWidth="1"/>
    <col min="2058" max="2058" width="9.85546875" style="2" customWidth="1"/>
    <col min="2059" max="2059" width="9.5703125" style="2" bestFit="1" customWidth="1"/>
    <col min="2060" max="2060" width="11.140625" style="2" customWidth="1"/>
    <col min="2061" max="2061" width="8.5703125" style="2" bestFit="1" customWidth="1"/>
    <col min="2062" max="2062" width="14.42578125" style="2" customWidth="1"/>
    <col min="2063" max="2063" width="14.28515625" style="2" bestFit="1" customWidth="1"/>
    <col min="2064" max="2304" width="13.42578125" style="2"/>
    <col min="2305" max="2305" width="34.85546875" style="2" customWidth="1"/>
    <col min="2306" max="2306" width="12.7109375" style="2" customWidth="1"/>
    <col min="2307" max="2307" width="9.5703125" style="2" customWidth="1"/>
    <col min="2308" max="2308" width="9.85546875" style="2" customWidth="1"/>
    <col min="2309" max="2309" width="10.5703125" style="2" bestFit="1" customWidth="1"/>
    <col min="2310" max="2310" width="9.85546875" style="2" customWidth="1"/>
    <col min="2311" max="2311" width="9.140625" style="2" customWidth="1"/>
    <col min="2312" max="2312" width="10.5703125" style="2" bestFit="1" customWidth="1"/>
    <col min="2313" max="2313" width="14.7109375" style="2" customWidth="1"/>
    <col min="2314" max="2314" width="9.85546875" style="2" customWidth="1"/>
    <col min="2315" max="2315" width="9.5703125" style="2" bestFit="1" customWidth="1"/>
    <col min="2316" max="2316" width="11.140625" style="2" customWidth="1"/>
    <col min="2317" max="2317" width="8.5703125" style="2" bestFit="1" customWidth="1"/>
    <col min="2318" max="2318" width="14.42578125" style="2" customWidth="1"/>
    <col min="2319" max="2319" width="14.28515625" style="2" bestFit="1" customWidth="1"/>
    <col min="2320" max="2560" width="13.42578125" style="2"/>
    <col min="2561" max="2561" width="34.85546875" style="2" customWidth="1"/>
    <col min="2562" max="2562" width="12.7109375" style="2" customWidth="1"/>
    <col min="2563" max="2563" width="9.5703125" style="2" customWidth="1"/>
    <col min="2564" max="2564" width="9.85546875" style="2" customWidth="1"/>
    <col min="2565" max="2565" width="10.5703125" style="2" bestFit="1" customWidth="1"/>
    <col min="2566" max="2566" width="9.85546875" style="2" customWidth="1"/>
    <col min="2567" max="2567" width="9.140625" style="2" customWidth="1"/>
    <col min="2568" max="2568" width="10.5703125" style="2" bestFit="1" customWidth="1"/>
    <col min="2569" max="2569" width="14.7109375" style="2" customWidth="1"/>
    <col min="2570" max="2570" width="9.85546875" style="2" customWidth="1"/>
    <col min="2571" max="2571" width="9.5703125" style="2" bestFit="1" customWidth="1"/>
    <col min="2572" max="2572" width="11.140625" style="2" customWidth="1"/>
    <col min="2573" max="2573" width="8.5703125" style="2" bestFit="1" customWidth="1"/>
    <col min="2574" max="2574" width="14.42578125" style="2" customWidth="1"/>
    <col min="2575" max="2575" width="14.28515625" style="2" bestFit="1" customWidth="1"/>
    <col min="2576" max="2816" width="13.42578125" style="2"/>
    <col min="2817" max="2817" width="34.85546875" style="2" customWidth="1"/>
    <col min="2818" max="2818" width="12.7109375" style="2" customWidth="1"/>
    <col min="2819" max="2819" width="9.5703125" style="2" customWidth="1"/>
    <col min="2820" max="2820" width="9.85546875" style="2" customWidth="1"/>
    <col min="2821" max="2821" width="10.5703125" style="2" bestFit="1" customWidth="1"/>
    <col min="2822" max="2822" width="9.85546875" style="2" customWidth="1"/>
    <col min="2823" max="2823" width="9.140625" style="2" customWidth="1"/>
    <col min="2824" max="2824" width="10.5703125" style="2" bestFit="1" customWidth="1"/>
    <col min="2825" max="2825" width="14.7109375" style="2" customWidth="1"/>
    <col min="2826" max="2826" width="9.85546875" style="2" customWidth="1"/>
    <col min="2827" max="2827" width="9.5703125" style="2" bestFit="1" customWidth="1"/>
    <col min="2828" max="2828" width="11.140625" style="2" customWidth="1"/>
    <col min="2829" max="2829" width="8.5703125" style="2" bestFit="1" customWidth="1"/>
    <col min="2830" max="2830" width="14.42578125" style="2" customWidth="1"/>
    <col min="2831" max="2831" width="14.28515625" style="2" bestFit="1" customWidth="1"/>
    <col min="2832" max="3072" width="13.42578125" style="2"/>
    <col min="3073" max="3073" width="34.85546875" style="2" customWidth="1"/>
    <col min="3074" max="3074" width="12.7109375" style="2" customWidth="1"/>
    <col min="3075" max="3075" width="9.5703125" style="2" customWidth="1"/>
    <col min="3076" max="3076" width="9.85546875" style="2" customWidth="1"/>
    <col min="3077" max="3077" width="10.5703125" style="2" bestFit="1" customWidth="1"/>
    <col min="3078" max="3078" width="9.85546875" style="2" customWidth="1"/>
    <col min="3079" max="3079" width="9.140625" style="2" customWidth="1"/>
    <col min="3080" max="3080" width="10.5703125" style="2" bestFit="1" customWidth="1"/>
    <col min="3081" max="3081" width="14.7109375" style="2" customWidth="1"/>
    <col min="3082" max="3082" width="9.85546875" style="2" customWidth="1"/>
    <col min="3083" max="3083" width="9.5703125" style="2" bestFit="1" customWidth="1"/>
    <col min="3084" max="3084" width="11.140625" style="2" customWidth="1"/>
    <col min="3085" max="3085" width="8.5703125" style="2" bestFit="1" customWidth="1"/>
    <col min="3086" max="3086" width="14.42578125" style="2" customWidth="1"/>
    <col min="3087" max="3087" width="14.28515625" style="2" bestFit="1" customWidth="1"/>
    <col min="3088" max="3328" width="13.42578125" style="2"/>
    <col min="3329" max="3329" width="34.85546875" style="2" customWidth="1"/>
    <col min="3330" max="3330" width="12.7109375" style="2" customWidth="1"/>
    <col min="3331" max="3331" width="9.5703125" style="2" customWidth="1"/>
    <col min="3332" max="3332" width="9.85546875" style="2" customWidth="1"/>
    <col min="3333" max="3333" width="10.5703125" style="2" bestFit="1" customWidth="1"/>
    <col min="3334" max="3334" width="9.85546875" style="2" customWidth="1"/>
    <col min="3335" max="3335" width="9.140625" style="2" customWidth="1"/>
    <col min="3336" max="3336" width="10.5703125" style="2" bestFit="1" customWidth="1"/>
    <col min="3337" max="3337" width="14.7109375" style="2" customWidth="1"/>
    <col min="3338" max="3338" width="9.85546875" style="2" customWidth="1"/>
    <col min="3339" max="3339" width="9.5703125" style="2" bestFit="1" customWidth="1"/>
    <col min="3340" max="3340" width="11.140625" style="2" customWidth="1"/>
    <col min="3341" max="3341" width="8.5703125" style="2" bestFit="1" customWidth="1"/>
    <col min="3342" max="3342" width="14.42578125" style="2" customWidth="1"/>
    <col min="3343" max="3343" width="14.28515625" style="2" bestFit="1" customWidth="1"/>
    <col min="3344" max="3584" width="13.42578125" style="2"/>
    <col min="3585" max="3585" width="34.85546875" style="2" customWidth="1"/>
    <col min="3586" max="3586" width="12.7109375" style="2" customWidth="1"/>
    <col min="3587" max="3587" width="9.5703125" style="2" customWidth="1"/>
    <col min="3588" max="3588" width="9.85546875" style="2" customWidth="1"/>
    <col min="3589" max="3589" width="10.5703125" style="2" bestFit="1" customWidth="1"/>
    <col min="3590" max="3590" width="9.85546875" style="2" customWidth="1"/>
    <col min="3591" max="3591" width="9.140625" style="2" customWidth="1"/>
    <col min="3592" max="3592" width="10.5703125" style="2" bestFit="1" customWidth="1"/>
    <col min="3593" max="3593" width="14.7109375" style="2" customWidth="1"/>
    <col min="3594" max="3594" width="9.85546875" style="2" customWidth="1"/>
    <col min="3595" max="3595" width="9.5703125" style="2" bestFit="1" customWidth="1"/>
    <col min="3596" max="3596" width="11.140625" style="2" customWidth="1"/>
    <col min="3597" max="3597" width="8.5703125" style="2" bestFit="1" customWidth="1"/>
    <col min="3598" max="3598" width="14.42578125" style="2" customWidth="1"/>
    <col min="3599" max="3599" width="14.28515625" style="2" bestFit="1" customWidth="1"/>
    <col min="3600" max="3840" width="13.42578125" style="2"/>
    <col min="3841" max="3841" width="34.85546875" style="2" customWidth="1"/>
    <col min="3842" max="3842" width="12.7109375" style="2" customWidth="1"/>
    <col min="3843" max="3843" width="9.5703125" style="2" customWidth="1"/>
    <col min="3844" max="3844" width="9.85546875" style="2" customWidth="1"/>
    <col min="3845" max="3845" width="10.5703125" style="2" bestFit="1" customWidth="1"/>
    <col min="3846" max="3846" width="9.85546875" style="2" customWidth="1"/>
    <col min="3847" max="3847" width="9.140625" style="2" customWidth="1"/>
    <col min="3848" max="3848" width="10.5703125" style="2" bestFit="1" customWidth="1"/>
    <col min="3849" max="3849" width="14.7109375" style="2" customWidth="1"/>
    <col min="3850" max="3850" width="9.85546875" style="2" customWidth="1"/>
    <col min="3851" max="3851" width="9.5703125" style="2" bestFit="1" customWidth="1"/>
    <col min="3852" max="3852" width="11.140625" style="2" customWidth="1"/>
    <col min="3853" max="3853" width="8.5703125" style="2" bestFit="1" customWidth="1"/>
    <col min="3854" max="3854" width="14.42578125" style="2" customWidth="1"/>
    <col min="3855" max="3855" width="14.28515625" style="2" bestFit="1" customWidth="1"/>
    <col min="3856" max="4096" width="13.42578125" style="2"/>
    <col min="4097" max="4097" width="34.85546875" style="2" customWidth="1"/>
    <col min="4098" max="4098" width="12.7109375" style="2" customWidth="1"/>
    <col min="4099" max="4099" width="9.5703125" style="2" customWidth="1"/>
    <col min="4100" max="4100" width="9.85546875" style="2" customWidth="1"/>
    <col min="4101" max="4101" width="10.5703125" style="2" bestFit="1" customWidth="1"/>
    <col min="4102" max="4102" width="9.85546875" style="2" customWidth="1"/>
    <col min="4103" max="4103" width="9.140625" style="2" customWidth="1"/>
    <col min="4104" max="4104" width="10.5703125" style="2" bestFit="1" customWidth="1"/>
    <col min="4105" max="4105" width="14.7109375" style="2" customWidth="1"/>
    <col min="4106" max="4106" width="9.85546875" style="2" customWidth="1"/>
    <col min="4107" max="4107" width="9.5703125" style="2" bestFit="1" customWidth="1"/>
    <col min="4108" max="4108" width="11.140625" style="2" customWidth="1"/>
    <col min="4109" max="4109" width="8.5703125" style="2" bestFit="1" customWidth="1"/>
    <col min="4110" max="4110" width="14.42578125" style="2" customWidth="1"/>
    <col min="4111" max="4111" width="14.28515625" style="2" bestFit="1" customWidth="1"/>
    <col min="4112" max="4352" width="13.42578125" style="2"/>
    <col min="4353" max="4353" width="34.85546875" style="2" customWidth="1"/>
    <col min="4354" max="4354" width="12.7109375" style="2" customWidth="1"/>
    <col min="4355" max="4355" width="9.5703125" style="2" customWidth="1"/>
    <col min="4356" max="4356" width="9.85546875" style="2" customWidth="1"/>
    <col min="4357" max="4357" width="10.5703125" style="2" bestFit="1" customWidth="1"/>
    <col min="4358" max="4358" width="9.85546875" style="2" customWidth="1"/>
    <col min="4359" max="4359" width="9.140625" style="2" customWidth="1"/>
    <col min="4360" max="4360" width="10.5703125" style="2" bestFit="1" customWidth="1"/>
    <col min="4361" max="4361" width="14.7109375" style="2" customWidth="1"/>
    <col min="4362" max="4362" width="9.85546875" style="2" customWidth="1"/>
    <col min="4363" max="4363" width="9.5703125" style="2" bestFit="1" customWidth="1"/>
    <col min="4364" max="4364" width="11.140625" style="2" customWidth="1"/>
    <col min="4365" max="4365" width="8.5703125" style="2" bestFit="1" customWidth="1"/>
    <col min="4366" max="4366" width="14.42578125" style="2" customWidth="1"/>
    <col min="4367" max="4367" width="14.28515625" style="2" bestFit="1" customWidth="1"/>
    <col min="4368" max="4608" width="13.42578125" style="2"/>
    <col min="4609" max="4609" width="34.85546875" style="2" customWidth="1"/>
    <col min="4610" max="4610" width="12.7109375" style="2" customWidth="1"/>
    <col min="4611" max="4611" width="9.5703125" style="2" customWidth="1"/>
    <col min="4612" max="4612" width="9.85546875" style="2" customWidth="1"/>
    <col min="4613" max="4613" width="10.5703125" style="2" bestFit="1" customWidth="1"/>
    <col min="4614" max="4614" width="9.85546875" style="2" customWidth="1"/>
    <col min="4615" max="4615" width="9.140625" style="2" customWidth="1"/>
    <col min="4616" max="4616" width="10.5703125" style="2" bestFit="1" customWidth="1"/>
    <col min="4617" max="4617" width="14.7109375" style="2" customWidth="1"/>
    <col min="4618" max="4618" width="9.85546875" style="2" customWidth="1"/>
    <col min="4619" max="4619" width="9.5703125" style="2" bestFit="1" customWidth="1"/>
    <col min="4620" max="4620" width="11.140625" style="2" customWidth="1"/>
    <col min="4621" max="4621" width="8.5703125" style="2" bestFit="1" customWidth="1"/>
    <col min="4622" max="4622" width="14.42578125" style="2" customWidth="1"/>
    <col min="4623" max="4623" width="14.28515625" style="2" bestFit="1" customWidth="1"/>
    <col min="4624" max="4864" width="13.42578125" style="2"/>
    <col min="4865" max="4865" width="34.85546875" style="2" customWidth="1"/>
    <col min="4866" max="4866" width="12.7109375" style="2" customWidth="1"/>
    <col min="4867" max="4867" width="9.5703125" style="2" customWidth="1"/>
    <col min="4868" max="4868" width="9.85546875" style="2" customWidth="1"/>
    <col min="4869" max="4869" width="10.5703125" style="2" bestFit="1" customWidth="1"/>
    <col min="4870" max="4870" width="9.85546875" style="2" customWidth="1"/>
    <col min="4871" max="4871" width="9.140625" style="2" customWidth="1"/>
    <col min="4872" max="4872" width="10.5703125" style="2" bestFit="1" customWidth="1"/>
    <col min="4873" max="4873" width="14.7109375" style="2" customWidth="1"/>
    <col min="4874" max="4874" width="9.85546875" style="2" customWidth="1"/>
    <col min="4875" max="4875" width="9.5703125" style="2" bestFit="1" customWidth="1"/>
    <col min="4876" max="4876" width="11.140625" style="2" customWidth="1"/>
    <col min="4877" max="4877" width="8.5703125" style="2" bestFit="1" customWidth="1"/>
    <col min="4878" max="4878" width="14.42578125" style="2" customWidth="1"/>
    <col min="4879" max="4879" width="14.28515625" style="2" bestFit="1" customWidth="1"/>
    <col min="4880" max="5120" width="13.42578125" style="2"/>
    <col min="5121" max="5121" width="34.85546875" style="2" customWidth="1"/>
    <col min="5122" max="5122" width="12.7109375" style="2" customWidth="1"/>
    <col min="5123" max="5123" width="9.5703125" style="2" customWidth="1"/>
    <col min="5124" max="5124" width="9.85546875" style="2" customWidth="1"/>
    <col min="5125" max="5125" width="10.5703125" style="2" bestFit="1" customWidth="1"/>
    <col min="5126" max="5126" width="9.85546875" style="2" customWidth="1"/>
    <col min="5127" max="5127" width="9.140625" style="2" customWidth="1"/>
    <col min="5128" max="5128" width="10.5703125" style="2" bestFit="1" customWidth="1"/>
    <col min="5129" max="5129" width="14.7109375" style="2" customWidth="1"/>
    <col min="5130" max="5130" width="9.85546875" style="2" customWidth="1"/>
    <col min="5131" max="5131" width="9.5703125" style="2" bestFit="1" customWidth="1"/>
    <col min="5132" max="5132" width="11.140625" style="2" customWidth="1"/>
    <col min="5133" max="5133" width="8.5703125" style="2" bestFit="1" customWidth="1"/>
    <col min="5134" max="5134" width="14.42578125" style="2" customWidth="1"/>
    <col min="5135" max="5135" width="14.28515625" style="2" bestFit="1" customWidth="1"/>
    <col min="5136" max="5376" width="13.42578125" style="2"/>
    <col min="5377" max="5377" width="34.85546875" style="2" customWidth="1"/>
    <col min="5378" max="5378" width="12.7109375" style="2" customWidth="1"/>
    <col min="5379" max="5379" width="9.5703125" style="2" customWidth="1"/>
    <col min="5380" max="5380" width="9.85546875" style="2" customWidth="1"/>
    <col min="5381" max="5381" width="10.5703125" style="2" bestFit="1" customWidth="1"/>
    <col min="5382" max="5382" width="9.85546875" style="2" customWidth="1"/>
    <col min="5383" max="5383" width="9.140625" style="2" customWidth="1"/>
    <col min="5384" max="5384" width="10.5703125" style="2" bestFit="1" customWidth="1"/>
    <col min="5385" max="5385" width="14.7109375" style="2" customWidth="1"/>
    <col min="5386" max="5386" width="9.85546875" style="2" customWidth="1"/>
    <col min="5387" max="5387" width="9.5703125" style="2" bestFit="1" customWidth="1"/>
    <col min="5388" max="5388" width="11.140625" style="2" customWidth="1"/>
    <col min="5389" max="5389" width="8.5703125" style="2" bestFit="1" customWidth="1"/>
    <col min="5390" max="5390" width="14.42578125" style="2" customWidth="1"/>
    <col min="5391" max="5391" width="14.28515625" style="2" bestFit="1" customWidth="1"/>
    <col min="5392" max="5632" width="13.42578125" style="2"/>
    <col min="5633" max="5633" width="34.85546875" style="2" customWidth="1"/>
    <col min="5634" max="5634" width="12.7109375" style="2" customWidth="1"/>
    <col min="5635" max="5635" width="9.5703125" style="2" customWidth="1"/>
    <col min="5636" max="5636" width="9.85546875" style="2" customWidth="1"/>
    <col min="5637" max="5637" width="10.5703125" style="2" bestFit="1" customWidth="1"/>
    <col min="5638" max="5638" width="9.85546875" style="2" customWidth="1"/>
    <col min="5639" max="5639" width="9.140625" style="2" customWidth="1"/>
    <col min="5640" max="5640" width="10.5703125" style="2" bestFit="1" customWidth="1"/>
    <col min="5641" max="5641" width="14.7109375" style="2" customWidth="1"/>
    <col min="5642" max="5642" width="9.85546875" style="2" customWidth="1"/>
    <col min="5643" max="5643" width="9.5703125" style="2" bestFit="1" customWidth="1"/>
    <col min="5644" max="5644" width="11.140625" style="2" customWidth="1"/>
    <col min="5645" max="5645" width="8.5703125" style="2" bestFit="1" customWidth="1"/>
    <col min="5646" max="5646" width="14.42578125" style="2" customWidth="1"/>
    <col min="5647" max="5647" width="14.28515625" style="2" bestFit="1" customWidth="1"/>
    <col min="5648" max="5888" width="13.42578125" style="2"/>
    <col min="5889" max="5889" width="34.85546875" style="2" customWidth="1"/>
    <col min="5890" max="5890" width="12.7109375" style="2" customWidth="1"/>
    <col min="5891" max="5891" width="9.5703125" style="2" customWidth="1"/>
    <col min="5892" max="5892" width="9.85546875" style="2" customWidth="1"/>
    <col min="5893" max="5893" width="10.5703125" style="2" bestFit="1" customWidth="1"/>
    <col min="5894" max="5894" width="9.85546875" style="2" customWidth="1"/>
    <col min="5895" max="5895" width="9.140625" style="2" customWidth="1"/>
    <col min="5896" max="5896" width="10.5703125" style="2" bestFit="1" customWidth="1"/>
    <col min="5897" max="5897" width="14.7109375" style="2" customWidth="1"/>
    <col min="5898" max="5898" width="9.85546875" style="2" customWidth="1"/>
    <col min="5899" max="5899" width="9.5703125" style="2" bestFit="1" customWidth="1"/>
    <col min="5900" max="5900" width="11.140625" style="2" customWidth="1"/>
    <col min="5901" max="5901" width="8.5703125" style="2" bestFit="1" customWidth="1"/>
    <col min="5902" max="5902" width="14.42578125" style="2" customWidth="1"/>
    <col min="5903" max="5903" width="14.28515625" style="2" bestFit="1" customWidth="1"/>
    <col min="5904" max="6144" width="13.42578125" style="2"/>
    <col min="6145" max="6145" width="34.85546875" style="2" customWidth="1"/>
    <col min="6146" max="6146" width="12.7109375" style="2" customWidth="1"/>
    <col min="6147" max="6147" width="9.5703125" style="2" customWidth="1"/>
    <col min="6148" max="6148" width="9.85546875" style="2" customWidth="1"/>
    <col min="6149" max="6149" width="10.5703125" style="2" bestFit="1" customWidth="1"/>
    <col min="6150" max="6150" width="9.85546875" style="2" customWidth="1"/>
    <col min="6151" max="6151" width="9.140625" style="2" customWidth="1"/>
    <col min="6152" max="6152" width="10.5703125" style="2" bestFit="1" customWidth="1"/>
    <col min="6153" max="6153" width="14.7109375" style="2" customWidth="1"/>
    <col min="6154" max="6154" width="9.85546875" style="2" customWidth="1"/>
    <col min="6155" max="6155" width="9.5703125" style="2" bestFit="1" customWidth="1"/>
    <col min="6156" max="6156" width="11.140625" style="2" customWidth="1"/>
    <col min="6157" max="6157" width="8.5703125" style="2" bestFit="1" customWidth="1"/>
    <col min="6158" max="6158" width="14.42578125" style="2" customWidth="1"/>
    <col min="6159" max="6159" width="14.28515625" style="2" bestFit="1" customWidth="1"/>
    <col min="6160" max="6400" width="13.42578125" style="2"/>
    <col min="6401" max="6401" width="34.85546875" style="2" customWidth="1"/>
    <col min="6402" max="6402" width="12.7109375" style="2" customWidth="1"/>
    <col min="6403" max="6403" width="9.5703125" style="2" customWidth="1"/>
    <col min="6404" max="6404" width="9.85546875" style="2" customWidth="1"/>
    <col min="6405" max="6405" width="10.5703125" style="2" bestFit="1" customWidth="1"/>
    <col min="6406" max="6406" width="9.85546875" style="2" customWidth="1"/>
    <col min="6407" max="6407" width="9.140625" style="2" customWidth="1"/>
    <col min="6408" max="6408" width="10.5703125" style="2" bestFit="1" customWidth="1"/>
    <col min="6409" max="6409" width="14.7109375" style="2" customWidth="1"/>
    <col min="6410" max="6410" width="9.85546875" style="2" customWidth="1"/>
    <col min="6411" max="6411" width="9.5703125" style="2" bestFit="1" customWidth="1"/>
    <col min="6412" max="6412" width="11.140625" style="2" customWidth="1"/>
    <col min="6413" max="6413" width="8.5703125" style="2" bestFit="1" customWidth="1"/>
    <col min="6414" max="6414" width="14.42578125" style="2" customWidth="1"/>
    <col min="6415" max="6415" width="14.28515625" style="2" bestFit="1" customWidth="1"/>
    <col min="6416" max="6656" width="13.42578125" style="2"/>
    <col min="6657" max="6657" width="34.85546875" style="2" customWidth="1"/>
    <col min="6658" max="6658" width="12.7109375" style="2" customWidth="1"/>
    <col min="6659" max="6659" width="9.5703125" style="2" customWidth="1"/>
    <col min="6660" max="6660" width="9.85546875" style="2" customWidth="1"/>
    <col min="6661" max="6661" width="10.5703125" style="2" bestFit="1" customWidth="1"/>
    <col min="6662" max="6662" width="9.85546875" style="2" customWidth="1"/>
    <col min="6663" max="6663" width="9.140625" style="2" customWidth="1"/>
    <col min="6664" max="6664" width="10.5703125" style="2" bestFit="1" customWidth="1"/>
    <col min="6665" max="6665" width="14.7109375" style="2" customWidth="1"/>
    <col min="6666" max="6666" width="9.85546875" style="2" customWidth="1"/>
    <col min="6667" max="6667" width="9.5703125" style="2" bestFit="1" customWidth="1"/>
    <col min="6668" max="6668" width="11.140625" style="2" customWidth="1"/>
    <col min="6669" max="6669" width="8.5703125" style="2" bestFit="1" customWidth="1"/>
    <col min="6670" max="6670" width="14.42578125" style="2" customWidth="1"/>
    <col min="6671" max="6671" width="14.28515625" style="2" bestFit="1" customWidth="1"/>
    <col min="6672" max="6912" width="13.42578125" style="2"/>
    <col min="6913" max="6913" width="34.85546875" style="2" customWidth="1"/>
    <col min="6914" max="6914" width="12.7109375" style="2" customWidth="1"/>
    <col min="6915" max="6915" width="9.5703125" style="2" customWidth="1"/>
    <col min="6916" max="6916" width="9.85546875" style="2" customWidth="1"/>
    <col min="6917" max="6917" width="10.5703125" style="2" bestFit="1" customWidth="1"/>
    <col min="6918" max="6918" width="9.85546875" style="2" customWidth="1"/>
    <col min="6919" max="6919" width="9.140625" style="2" customWidth="1"/>
    <col min="6920" max="6920" width="10.5703125" style="2" bestFit="1" customWidth="1"/>
    <col min="6921" max="6921" width="14.7109375" style="2" customWidth="1"/>
    <col min="6922" max="6922" width="9.85546875" style="2" customWidth="1"/>
    <col min="6923" max="6923" width="9.5703125" style="2" bestFit="1" customWidth="1"/>
    <col min="6924" max="6924" width="11.140625" style="2" customWidth="1"/>
    <col min="6925" max="6925" width="8.5703125" style="2" bestFit="1" customWidth="1"/>
    <col min="6926" max="6926" width="14.42578125" style="2" customWidth="1"/>
    <col min="6927" max="6927" width="14.28515625" style="2" bestFit="1" customWidth="1"/>
    <col min="6928" max="7168" width="13.42578125" style="2"/>
    <col min="7169" max="7169" width="34.85546875" style="2" customWidth="1"/>
    <col min="7170" max="7170" width="12.7109375" style="2" customWidth="1"/>
    <col min="7171" max="7171" width="9.5703125" style="2" customWidth="1"/>
    <col min="7172" max="7172" width="9.85546875" style="2" customWidth="1"/>
    <col min="7173" max="7173" width="10.5703125" style="2" bestFit="1" customWidth="1"/>
    <col min="7174" max="7174" width="9.85546875" style="2" customWidth="1"/>
    <col min="7175" max="7175" width="9.140625" style="2" customWidth="1"/>
    <col min="7176" max="7176" width="10.5703125" style="2" bestFit="1" customWidth="1"/>
    <col min="7177" max="7177" width="14.7109375" style="2" customWidth="1"/>
    <col min="7178" max="7178" width="9.85546875" style="2" customWidth="1"/>
    <col min="7179" max="7179" width="9.5703125" style="2" bestFit="1" customWidth="1"/>
    <col min="7180" max="7180" width="11.140625" style="2" customWidth="1"/>
    <col min="7181" max="7181" width="8.5703125" style="2" bestFit="1" customWidth="1"/>
    <col min="7182" max="7182" width="14.42578125" style="2" customWidth="1"/>
    <col min="7183" max="7183" width="14.28515625" style="2" bestFit="1" customWidth="1"/>
    <col min="7184" max="7424" width="13.42578125" style="2"/>
    <col min="7425" max="7425" width="34.85546875" style="2" customWidth="1"/>
    <col min="7426" max="7426" width="12.7109375" style="2" customWidth="1"/>
    <col min="7427" max="7427" width="9.5703125" style="2" customWidth="1"/>
    <col min="7428" max="7428" width="9.85546875" style="2" customWidth="1"/>
    <col min="7429" max="7429" width="10.5703125" style="2" bestFit="1" customWidth="1"/>
    <col min="7430" max="7430" width="9.85546875" style="2" customWidth="1"/>
    <col min="7431" max="7431" width="9.140625" style="2" customWidth="1"/>
    <col min="7432" max="7432" width="10.5703125" style="2" bestFit="1" customWidth="1"/>
    <col min="7433" max="7433" width="14.7109375" style="2" customWidth="1"/>
    <col min="7434" max="7434" width="9.85546875" style="2" customWidth="1"/>
    <col min="7435" max="7435" width="9.5703125" style="2" bestFit="1" customWidth="1"/>
    <col min="7436" max="7436" width="11.140625" style="2" customWidth="1"/>
    <col min="7437" max="7437" width="8.5703125" style="2" bestFit="1" customWidth="1"/>
    <col min="7438" max="7438" width="14.42578125" style="2" customWidth="1"/>
    <col min="7439" max="7439" width="14.28515625" style="2" bestFit="1" customWidth="1"/>
    <col min="7440" max="7680" width="13.42578125" style="2"/>
    <col min="7681" max="7681" width="34.85546875" style="2" customWidth="1"/>
    <col min="7682" max="7682" width="12.7109375" style="2" customWidth="1"/>
    <col min="7683" max="7683" width="9.5703125" style="2" customWidth="1"/>
    <col min="7684" max="7684" width="9.85546875" style="2" customWidth="1"/>
    <col min="7685" max="7685" width="10.5703125" style="2" bestFit="1" customWidth="1"/>
    <col min="7686" max="7686" width="9.85546875" style="2" customWidth="1"/>
    <col min="7687" max="7687" width="9.140625" style="2" customWidth="1"/>
    <col min="7688" max="7688" width="10.5703125" style="2" bestFit="1" customWidth="1"/>
    <col min="7689" max="7689" width="14.7109375" style="2" customWidth="1"/>
    <col min="7690" max="7690" width="9.85546875" style="2" customWidth="1"/>
    <col min="7691" max="7691" width="9.5703125" style="2" bestFit="1" customWidth="1"/>
    <col min="7692" max="7692" width="11.140625" style="2" customWidth="1"/>
    <col min="7693" max="7693" width="8.5703125" style="2" bestFit="1" customWidth="1"/>
    <col min="7694" max="7694" width="14.42578125" style="2" customWidth="1"/>
    <col min="7695" max="7695" width="14.28515625" style="2" bestFit="1" customWidth="1"/>
    <col min="7696" max="7936" width="13.42578125" style="2"/>
    <col min="7937" max="7937" width="34.85546875" style="2" customWidth="1"/>
    <col min="7938" max="7938" width="12.7109375" style="2" customWidth="1"/>
    <col min="7939" max="7939" width="9.5703125" style="2" customWidth="1"/>
    <col min="7940" max="7940" width="9.85546875" style="2" customWidth="1"/>
    <col min="7941" max="7941" width="10.5703125" style="2" bestFit="1" customWidth="1"/>
    <col min="7942" max="7942" width="9.85546875" style="2" customWidth="1"/>
    <col min="7943" max="7943" width="9.140625" style="2" customWidth="1"/>
    <col min="7944" max="7944" width="10.5703125" style="2" bestFit="1" customWidth="1"/>
    <col min="7945" max="7945" width="14.7109375" style="2" customWidth="1"/>
    <col min="7946" max="7946" width="9.85546875" style="2" customWidth="1"/>
    <col min="7947" max="7947" width="9.5703125" style="2" bestFit="1" customWidth="1"/>
    <col min="7948" max="7948" width="11.140625" style="2" customWidth="1"/>
    <col min="7949" max="7949" width="8.5703125" style="2" bestFit="1" customWidth="1"/>
    <col min="7950" max="7950" width="14.42578125" style="2" customWidth="1"/>
    <col min="7951" max="7951" width="14.28515625" style="2" bestFit="1" customWidth="1"/>
    <col min="7952" max="8192" width="13.42578125" style="2"/>
    <col min="8193" max="8193" width="34.85546875" style="2" customWidth="1"/>
    <col min="8194" max="8194" width="12.7109375" style="2" customWidth="1"/>
    <col min="8195" max="8195" width="9.5703125" style="2" customWidth="1"/>
    <col min="8196" max="8196" width="9.85546875" style="2" customWidth="1"/>
    <col min="8197" max="8197" width="10.5703125" style="2" bestFit="1" customWidth="1"/>
    <col min="8198" max="8198" width="9.85546875" style="2" customWidth="1"/>
    <col min="8199" max="8199" width="9.140625" style="2" customWidth="1"/>
    <col min="8200" max="8200" width="10.5703125" style="2" bestFit="1" customWidth="1"/>
    <col min="8201" max="8201" width="14.7109375" style="2" customWidth="1"/>
    <col min="8202" max="8202" width="9.85546875" style="2" customWidth="1"/>
    <col min="8203" max="8203" width="9.5703125" style="2" bestFit="1" customWidth="1"/>
    <col min="8204" max="8204" width="11.140625" style="2" customWidth="1"/>
    <col min="8205" max="8205" width="8.5703125" style="2" bestFit="1" customWidth="1"/>
    <col min="8206" max="8206" width="14.42578125" style="2" customWidth="1"/>
    <col min="8207" max="8207" width="14.28515625" style="2" bestFit="1" customWidth="1"/>
    <col min="8208" max="8448" width="13.42578125" style="2"/>
    <col min="8449" max="8449" width="34.85546875" style="2" customWidth="1"/>
    <col min="8450" max="8450" width="12.7109375" style="2" customWidth="1"/>
    <col min="8451" max="8451" width="9.5703125" style="2" customWidth="1"/>
    <col min="8452" max="8452" width="9.85546875" style="2" customWidth="1"/>
    <col min="8453" max="8453" width="10.5703125" style="2" bestFit="1" customWidth="1"/>
    <col min="8454" max="8454" width="9.85546875" style="2" customWidth="1"/>
    <col min="8455" max="8455" width="9.140625" style="2" customWidth="1"/>
    <col min="8456" max="8456" width="10.5703125" style="2" bestFit="1" customWidth="1"/>
    <col min="8457" max="8457" width="14.7109375" style="2" customWidth="1"/>
    <col min="8458" max="8458" width="9.85546875" style="2" customWidth="1"/>
    <col min="8459" max="8459" width="9.5703125" style="2" bestFit="1" customWidth="1"/>
    <col min="8460" max="8460" width="11.140625" style="2" customWidth="1"/>
    <col min="8461" max="8461" width="8.5703125" style="2" bestFit="1" customWidth="1"/>
    <col min="8462" max="8462" width="14.42578125" style="2" customWidth="1"/>
    <col min="8463" max="8463" width="14.28515625" style="2" bestFit="1" customWidth="1"/>
    <col min="8464" max="8704" width="13.42578125" style="2"/>
    <col min="8705" max="8705" width="34.85546875" style="2" customWidth="1"/>
    <col min="8706" max="8706" width="12.7109375" style="2" customWidth="1"/>
    <col min="8707" max="8707" width="9.5703125" style="2" customWidth="1"/>
    <col min="8708" max="8708" width="9.85546875" style="2" customWidth="1"/>
    <col min="8709" max="8709" width="10.5703125" style="2" bestFit="1" customWidth="1"/>
    <col min="8710" max="8710" width="9.85546875" style="2" customWidth="1"/>
    <col min="8711" max="8711" width="9.140625" style="2" customWidth="1"/>
    <col min="8712" max="8712" width="10.5703125" style="2" bestFit="1" customWidth="1"/>
    <col min="8713" max="8713" width="14.7109375" style="2" customWidth="1"/>
    <col min="8714" max="8714" width="9.85546875" style="2" customWidth="1"/>
    <col min="8715" max="8715" width="9.5703125" style="2" bestFit="1" customWidth="1"/>
    <col min="8716" max="8716" width="11.140625" style="2" customWidth="1"/>
    <col min="8717" max="8717" width="8.5703125" style="2" bestFit="1" customWidth="1"/>
    <col min="8718" max="8718" width="14.42578125" style="2" customWidth="1"/>
    <col min="8719" max="8719" width="14.28515625" style="2" bestFit="1" customWidth="1"/>
    <col min="8720" max="8960" width="13.42578125" style="2"/>
    <col min="8961" max="8961" width="34.85546875" style="2" customWidth="1"/>
    <col min="8962" max="8962" width="12.7109375" style="2" customWidth="1"/>
    <col min="8963" max="8963" width="9.5703125" style="2" customWidth="1"/>
    <col min="8964" max="8964" width="9.85546875" style="2" customWidth="1"/>
    <col min="8965" max="8965" width="10.5703125" style="2" bestFit="1" customWidth="1"/>
    <col min="8966" max="8966" width="9.85546875" style="2" customWidth="1"/>
    <col min="8967" max="8967" width="9.140625" style="2" customWidth="1"/>
    <col min="8968" max="8968" width="10.5703125" style="2" bestFit="1" customWidth="1"/>
    <col min="8969" max="8969" width="14.7109375" style="2" customWidth="1"/>
    <col min="8970" max="8970" width="9.85546875" style="2" customWidth="1"/>
    <col min="8971" max="8971" width="9.5703125" style="2" bestFit="1" customWidth="1"/>
    <col min="8972" max="8972" width="11.140625" style="2" customWidth="1"/>
    <col min="8973" max="8973" width="8.5703125" style="2" bestFit="1" customWidth="1"/>
    <col min="8974" max="8974" width="14.42578125" style="2" customWidth="1"/>
    <col min="8975" max="8975" width="14.28515625" style="2" bestFit="1" customWidth="1"/>
    <col min="8976" max="9216" width="13.42578125" style="2"/>
    <col min="9217" max="9217" width="34.85546875" style="2" customWidth="1"/>
    <col min="9218" max="9218" width="12.7109375" style="2" customWidth="1"/>
    <col min="9219" max="9219" width="9.5703125" style="2" customWidth="1"/>
    <col min="9220" max="9220" width="9.85546875" style="2" customWidth="1"/>
    <col min="9221" max="9221" width="10.5703125" style="2" bestFit="1" customWidth="1"/>
    <col min="9222" max="9222" width="9.85546875" style="2" customWidth="1"/>
    <col min="9223" max="9223" width="9.140625" style="2" customWidth="1"/>
    <col min="9224" max="9224" width="10.5703125" style="2" bestFit="1" customWidth="1"/>
    <col min="9225" max="9225" width="14.7109375" style="2" customWidth="1"/>
    <col min="9226" max="9226" width="9.85546875" style="2" customWidth="1"/>
    <col min="9227" max="9227" width="9.5703125" style="2" bestFit="1" customWidth="1"/>
    <col min="9228" max="9228" width="11.140625" style="2" customWidth="1"/>
    <col min="9229" max="9229" width="8.5703125" style="2" bestFit="1" customWidth="1"/>
    <col min="9230" max="9230" width="14.42578125" style="2" customWidth="1"/>
    <col min="9231" max="9231" width="14.28515625" style="2" bestFit="1" customWidth="1"/>
    <col min="9232" max="9472" width="13.42578125" style="2"/>
    <col min="9473" max="9473" width="34.85546875" style="2" customWidth="1"/>
    <col min="9474" max="9474" width="12.7109375" style="2" customWidth="1"/>
    <col min="9475" max="9475" width="9.5703125" style="2" customWidth="1"/>
    <col min="9476" max="9476" width="9.85546875" style="2" customWidth="1"/>
    <col min="9477" max="9477" width="10.5703125" style="2" bestFit="1" customWidth="1"/>
    <col min="9478" max="9478" width="9.85546875" style="2" customWidth="1"/>
    <col min="9479" max="9479" width="9.140625" style="2" customWidth="1"/>
    <col min="9480" max="9480" width="10.5703125" style="2" bestFit="1" customWidth="1"/>
    <col min="9481" max="9481" width="14.7109375" style="2" customWidth="1"/>
    <col min="9482" max="9482" width="9.85546875" style="2" customWidth="1"/>
    <col min="9483" max="9483" width="9.5703125" style="2" bestFit="1" customWidth="1"/>
    <col min="9484" max="9484" width="11.140625" style="2" customWidth="1"/>
    <col min="9485" max="9485" width="8.5703125" style="2" bestFit="1" customWidth="1"/>
    <col min="9486" max="9486" width="14.42578125" style="2" customWidth="1"/>
    <col min="9487" max="9487" width="14.28515625" style="2" bestFit="1" customWidth="1"/>
    <col min="9488" max="9728" width="13.42578125" style="2"/>
    <col min="9729" max="9729" width="34.85546875" style="2" customWidth="1"/>
    <col min="9730" max="9730" width="12.7109375" style="2" customWidth="1"/>
    <col min="9731" max="9731" width="9.5703125" style="2" customWidth="1"/>
    <col min="9732" max="9732" width="9.85546875" style="2" customWidth="1"/>
    <col min="9733" max="9733" width="10.5703125" style="2" bestFit="1" customWidth="1"/>
    <col min="9734" max="9734" width="9.85546875" style="2" customWidth="1"/>
    <col min="9735" max="9735" width="9.140625" style="2" customWidth="1"/>
    <col min="9736" max="9736" width="10.5703125" style="2" bestFit="1" customWidth="1"/>
    <col min="9737" max="9737" width="14.7109375" style="2" customWidth="1"/>
    <col min="9738" max="9738" width="9.85546875" style="2" customWidth="1"/>
    <col min="9739" max="9739" width="9.5703125" style="2" bestFit="1" customWidth="1"/>
    <col min="9740" max="9740" width="11.140625" style="2" customWidth="1"/>
    <col min="9741" max="9741" width="8.5703125" style="2" bestFit="1" customWidth="1"/>
    <col min="9742" max="9742" width="14.42578125" style="2" customWidth="1"/>
    <col min="9743" max="9743" width="14.28515625" style="2" bestFit="1" customWidth="1"/>
    <col min="9744" max="9984" width="13.42578125" style="2"/>
    <col min="9985" max="9985" width="34.85546875" style="2" customWidth="1"/>
    <col min="9986" max="9986" width="12.7109375" style="2" customWidth="1"/>
    <col min="9987" max="9987" width="9.5703125" style="2" customWidth="1"/>
    <col min="9988" max="9988" width="9.85546875" style="2" customWidth="1"/>
    <col min="9989" max="9989" width="10.5703125" style="2" bestFit="1" customWidth="1"/>
    <col min="9990" max="9990" width="9.85546875" style="2" customWidth="1"/>
    <col min="9991" max="9991" width="9.140625" style="2" customWidth="1"/>
    <col min="9992" max="9992" width="10.5703125" style="2" bestFit="1" customWidth="1"/>
    <col min="9993" max="9993" width="14.7109375" style="2" customWidth="1"/>
    <col min="9994" max="9994" width="9.85546875" style="2" customWidth="1"/>
    <col min="9995" max="9995" width="9.5703125" style="2" bestFit="1" customWidth="1"/>
    <col min="9996" max="9996" width="11.140625" style="2" customWidth="1"/>
    <col min="9997" max="9997" width="8.5703125" style="2" bestFit="1" customWidth="1"/>
    <col min="9998" max="9998" width="14.42578125" style="2" customWidth="1"/>
    <col min="9999" max="9999" width="14.28515625" style="2" bestFit="1" customWidth="1"/>
    <col min="10000" max="10240" width="13.42578125" style="2"/>
    <col min="10241" max="10241" width="34.85546875" style="2" customWidth="1"/>
    <col min="10242" max="10242" width="12.7109375" style="2" customWidth="1"/>
    <col min="10243" max="10243" width="9.5703125" style="2" customWidth="1"/>
    <col min="10244" max="10244" width="9.85546875" style="2" customWidth="1"/>
    <col min="10245" max="10245" width="10.5703125" style="2" bestFit="1" customWidth="1"/>
    <col min="10246" max="10246" width="9.85546875" style="2" customWidth="1"/>
    <col min="10247" max="10247" width="9.140625" style="2" customWidth="1"/>
    <col min="10248" max="10248" width="10.5703125" style="2" bestFit="1" customWidth="1"/>
    <col min="10249" max="10249" width="14.7109375" style="2" customWidth="1"/>
    <col min="10250" max="10250" width="9.85546875" style="2" customWidth="1"/>
    <col min="10251" max="10251" width="9.5703125" style="2" bestFit="1" customWidth="1"/>
    <col min="10252" max="10252" width="11.140625" style="2" customWidth="1"/>
    <col min="10253" max="10253" width="8.5703125" style="2" bestFit="1" customWidth="1"/>
    <col min="10254" max="10254" width="14.42578125" style="2" customWidth="1"/>
    <col min="10255" max="10255" width="14.28515625" style="2" bestFit="1" customWidth="1"/>
    <col min="10256" max="10496" width="13.42578125" style="2"/>
    <col min="10497" max="10497" width="34.85546875" style="2" customWidth="1"/>
    <col min="10498" max="10498" width="12.7109375" style="2" customWidth="1"/>
    <col min="10499" max="10499" width="9.5703125" style="2" customWidth="1"/>
    <col min="10500" max="10500" width="9.85546875" style="2" customWidth="1"/>
    <col min="10501" max="10501" width="10.5703125" style="2" bestFit="1" customWidth="1"/>
    <col min="10502" max="10502" width="9.85546875" style="2" customWidth="1"/>
    <col min="10503" max="10503" width="9.140625" style="2" customWidth="1"/>
    <col min="10504" max="10504" width="10.5703125" style="2" bestFit="1" customWidth="1"/>
    <col min="10505" max="10505" width="14.7109375" style="2" customWidth="1"/>
    <col min="10506" max="10506" width="9.85546875" style="2" customWidth="1"/>
    <col min="10507" max="10507" width="9.5703125" style="2" bestFit="1" customWidth="1"/>
    <col min="10508" max="10508" width="11.140625" style="2" customWidth="1"/>
    <col min="10509" max="10509" width="8.5703125" style="2" bestFit="1" customWidth="1"/>
    <col min="10510" max="10510" width="14.42578125" style="2" customWidth="1"/>
    <col min="10511" max="10511" width="14.28515625" style="2" bestFit="1" customWidth="1"/>
    <col min="10512" max="10752" width="13.42578125" style="2"/>
    <col min="10753" max="10753" width="34.85546875" style="2" customWidth="1"/>
    <col min="10754" max="10754" width="12.7109375" style="2" customWidth="1"/>
    <col min="10755" max="10755" width="9.5703125" style="2" customWidth="1"/>
    <col min="10756" max="10756" width="9.85546875" style="2" customWidth="1"/>
    <col min="10757" max="10757" width="10.5703125" style="2" bestFit="1" customWidth="1"/>
    <col min="10758" max="10758" width="9.85546875" style="2" customWidth="1"/>
    <col min="10759" max="10759" width="9.140625" style="2" customWidth="1"/>
    <col min="10760" max="10760" width="10.5703125" style="2" bestFit="1" customWidth="1"/>
    <col min="10761" max="10761" width="14.7109375" style="2" customWidth="1"/>
    <col min="10762" max="10762" width="9.85546875" style="2" customWidth="1"/>
    <col min="10763" max="10763" width="9.5703125" style="2" bestFit="1" customWidth="1"/>
    <col min="10764" max="10764" width="11.140625" style="2" customWidth="1"/>
    <col min="10765" max="10765" width="8.5703125" style="2" bestFit="1" customWidth="1"/>
    <col min="10766" max="10766" width="14.42578125" style="2" customWidth="1"/>
    <col min="10767" max="10767" width="14.28515625" style="2" bestFit="1" customWidth="1"/>
    <col min="10768" max="11008" width="13.42578125" style="2"/>
    <col min="11009" max="11009" width="34.85546875" style="2" customWidth="1"/>
    <col min="11010" max="11010" width="12.7109375" style="2" customWidth="1"/>
    <col min="11011" max="11011" width="9.5703125" style="2" customWidth="1"/>
    <col min="11012" max="11012" width="9.85546875" style="2" customWidth="1"/>
    <col min="11013" max="11013" width="10.5703125" style="2" bestFit="1" customWidth="1"/>
    <col min="11014" max="11014" width="9.85546875" style="2" customWidth="1"/>
    <col min="11015" max="11015" width="9.140625" style="2" customWidth="1"/>
    <col min="11016" max="11016" width="10.5703125" style="2" bestFit="1" customWidth="1"/>
    <col min="11017" max="11017" width="14.7109375" style="2" customWidth="1"/>
    <col min="11018" max="11018" width="9.85546875" style="2" customWidth="1"/>
    <col min="11019" max="11019" width="9.5703125" style="2" bestFit="1" customWidth="1"/>
    <col min="11020" max="11020" width="11.140625" style="2" customWidth="1"/>
    <col min="11021" max="11021" width="8.5703125" style="2" bestFit="1" customWidth="1"/>
    <col min="11022" max="11022" width="14.42578125" style="2" customWidth="1"/>
    <col min="11023" max="11023" width="14.28515625" style="2" bestFit="1" customWidth="1"/>
    <col min="11024" max="11264" width="13.42578125" style="2"/>
    <col min="11265" max="11265" width="34.85546875" style="2" customWidth="1"/>
    <col min="11266" max="11266" width="12.7109375" style="2" customWidth="1"/>
    <col min="11267" max="11267" width="9.5703125" style="2" customWidth="1"/>
    <col min="11268" max="11268" width="9.85546875" style="2" customWidth="1"/>
    <col min="11269" max="11269" width="10.5703125" style="2" bestFit="1" customWidth="1"/>
    <col min="11270" max="11270" width="9.85546875" style="2" customWidth="1"/>
    <col min="11271" max="11271" width="9.140625" style="2" customWidth="1"/>
    <col min="11272" max="11272" width="10.5703125" style="2" bestFit="1" customWidth="1"/>
    <col min="11273" max="11273" width="14.7109375" style="2" customWidth="1"/>
    <col min="11274" max="11274" width="9.85546875" style="2" customWidth="1"/>
    <col min="11275" max="11275" width="9.5703125" style="2" bestFit="1" customWidth="1"/>
    <col min="11276" max="11276" width="11.140625" style="2" customWidth="1"/>
    <col min="11277" max="11277" width="8.5703125" style="2" bestFit="1" customWidth="1"/>
    <col min="11278" max="11278" width="14.42578125" style="2" customWidth="1"/>
    <col min="11279" max="11279" width="14.28515625" style="2" bestFit="1" customWidth="1"/>
    <col min="11280" max="11520" width="13.42578125" style="2"/>
    <col min="11521" max="11521" width="34.85546875" style="2" customWidth="1"/>
    <col min="11522" max="11522" width="12.7109375" style="2" customWidth="1"/>
    <col min="11523" max="11523" width="9.5703125" style="2" customWidth="1"/>
    <col min="11524" max="11524" width="9.85546875" style="2" customWidth="1"/>
    <col min="11525" max="11525" width="10.5703125" style="2" bestFit="1" customWidth="1"/>
    <col min="11526" max="11526" width="9.85546875" style="2" customWidth="1"/>
    <col min="11527" max="11527" width="9.140625" style="2" customWidth="1"/>
    <col min="11528" max="11528" width="10.5703125" style="2" bestFit="1" customWidth="1"/>
    <col min="11529" max="11529" width="14.7109375" style="2" customWidth="1"/>
    <col min="11530" max="11530" width="9.85546875" style="2" customWidth="1"/>
    <col min="11531" max="11531" width="9.5703125" style="2" bestFit="1" customWidth="1"/>
    <col min="11532" max="11532" width="11.140625" style="2" customWidth="1"/>
    <col min="11533" max="11533" width="8.5703125" style="2" bestFit="1" customWidth="1"/>
    <col min="11534" max="11534" width="14.42578125" style="2" customWidth="1"/>
    <col min="11535" max="11535" width="14.28515625" style="2" bestFit="1" customWidth="1"/>
    <col min="11536" max="11776" width="13.42578125" style="2"/>
    <col min="11777" max="11777" width="34.85546875" style="2" customWidth="1"/>
    <col min="11778" max="11778" width="12.7109375" style="2" customWidth="1"/>
    <col min="11779" max="11779" width="9.5703125" style="2" customWidth="1"/>
    <col min="11780" max="11780" width="9.85546875" style="2" customWidth="1"/>
    <col min="11781" max="11781" width="10.5703125" style="2" bestFit="1" customWidth="1"/>
    <col min="11782" max="11782" width="9.85546875" style="2" customWidth="1"/>
    <col min="11783" max="11783" width="9.140625" style="2" customWidth="1"/>
    <col min="11784" max="11784" width="10.5703125" style="2" bestFit="1" customWidth="1"/>
    <col min="11785" max="11785" width="14.7109375" style="2" customWidth="1"/>
    <col min="11786" max="11786" width="9.85546875" style="2" customWidth="1"/>
    <col min="11787" max="11787" width="9.5703125" style="2" bestFit="1" customWidth="1"/>
    <col min="11788" max="11788" width="11.140625" style="2" customWidth="1"/>
    <col min="11789" max="11789" width="8.5703125" style="2" bestFit="1" customWidth="1"/>
    <col min="11790" max="11790" width="14.42578125" style="2" customWidth="1"/>
    <col min="11791" max="11791" width="14.28515625" style="2" bestFit="1" customWidth="1"/>
    <col min="11792" max="12032" width="13.42578125" style="2"/>
    <col min="12033" max="12033" width="34.85546875" style="2" customWidth="1"/>
    <col min="12034" max="12034" width="12.7109375" style="2" customWidth="1"/>
    <col min="12035" max="12035" width="9.5703125" style="2" customWidth="1"/>
    <col min="12036" max="12036" width="9.85546875" style="2" customWidth="1"/>
    <col min="12037" max="12037" width="10.5703125" style="2" bestFit="1" customWidth="1"/>
    <col min="12038" max="12038" width="9.85546875" style="2" customWidth="1"/>
    <col min="12039" max="12039" width="9.140625" style="2" customWidth="1"/>
    <col min="12040" max="12040" width="10.5703125" style="2" bestFit="1" customWidth="1"/>
    <col min="12041" max="12041" width="14.7109375" style="2" customWidth="1"/>
    <col min="12042" max="12042" width="9.85546875" style="2" customWidth="1"/>
    <col min="12043" max="12043" width="9.5703125" style="2" bestFit="1" customWidth="1"/>
    <col min="12044" max="12044" width="11.140625" style="2" customWidth="1"/>
    <col min="12045" max="12045" width="8.5703125" style="2" bestFit="1" customWidth="1"/>
    <col min="12046" max="12046" width="14.42578125" style="2" customWidth="1"/>
    <col min="12047" max="12047" width="14.28515625" style="2" bestFit="1" customWidth="1"/>
    <col min="12048" max="12288" width="13.42578125" style="2"/>
    <col min="12289" max="12289" width="34.85546875" style="2" customWidth="1"/>
    <col min="12290" max="12290" width="12.7109375" style="2" customWidth="1"/>
    <col min="12291" max="12291" width="9.5703125" style="2" customWidth="1"/>
    <col min="12292" max="12292" width="9.85546875" style="2" customWidth="1"/>
    <col min="12293" max="12293" width="10.5703125" style="2" bestFit="1" customWidth="1"/>
    <col min="12294" max="12294" width="9.85546875" style="2" customWidth="1"/>
    <col min="12295" max="12295" width="9.140625" style="2" customWidth="1"/>
    <col min="12296" max="12296" width="10.5703125" style="2" bestFit="1" customWidth="1"/>
    <col min="12297" max="12297" width="14.7109375" style="2" customWidth="1"/>
    <col min="12298" max="12298" width="9.85546875" style="2" customWidth="1"/>
    <col min="12299" max="12299" width="9.5703125" style="2" bestFit="1" customWidth="1"/>
    <col min="12300" max="12300" width="11.140625" style="2" customWidth="1"/>
    <col min="12301" max="12301" width="8.5703125" style="2" bestFit="1" customWidth="1"/>
    <col min="12302" max="12302" width="14.42578125" style="2" customWidth="1"/>
    <col min="12303" max="12303" width="14.28515625" style="2" bestFit="1" customWidth="1"/>
    <col min="12304" max="12544" width="13.42578125" style="2"/>
    <col min="12545" max="12545" width="34.85546875" style="2" customWidth="1"/>
    <col min="12546" max="12546" width="12.7109375" style="2" customWidth="1"/>
    <col min="12547" max="12547" width="9.5703125" style="2" customWidth="1"/>
    <col min="12548" max="12548" width="9.85546875" style="2" customWidth="1"/>
    <col min="12549" max="12549" width="10.5703125" style="2" bestFit="1" customWidth="1"/>
    <col min="12550" max="12550" width="9.85546875" style="2" customWidth="1"/>
    <col min="12551" max="12551" width="9.140625" style="2" customWidth="1"/>
    <col min="12552" max="12552" width="10.5703125" style="2" bestFit="1" customWidth="1"/>
    <col min="12553" max="12553" width="14.7109375" style="2" customWidth="1"/>
    <col min="12554" max="12554" width="9.85546875" style="2" customWidth="1"/>
    <col min="12555" max="12555" width="9.5703125" style="2" bestFit="1" customWidth="1"/>
    <col min="12556" max="12556" width="11.140625" style="2" customWidth="1"/>
    <col min="12557" max="12557" width="8.5703125" style="2" bestFit="1" customWidth="1"/>
    <col min="12558" max="12558" width="14.42578125" style="2" customWidth="1"/>
    <col min="12559" max="12559" width="14.28515625" style="2" bestFit="1" customWidth="1"/>
    <col min="12560" max="12800" width="13.42578125" style="2"/>
    <col min="12801" max="12801" width="34.85546875" style="2" customWidth="1"/>
    <col min="12802" max="12802" width="12.7109375" style="2" customWidth="1"/>
    <col min="12803" max="12803" width="9.5703125" style="2" customWidth="1"/>
    <col min="12804" max="12804" width="9.85546875" style="2" customWidth="1"/>
    <col min="12805" max="12805" width="10.5703125" style="2" bestFit="1" customWidth="1"/>
    <col min="12806" max="12806" width="9.85546875" style="2" customWidth="1"/>
    <col min="12807" max="12807" width="9.140625" style="2" customWidth="1"/>
    <col min="12808" max="12808" width="10.5703125" style="2" bestFit="1" customWidth="1"/>
    <col min="12809" max="12809" width="14.7109375" style="2" customWidth="1"/>
    <col min="12810" max="12810" width="9.85546875" style="2" customWidth="1"/>
    <col min="12811" max="12811" width="9.5703125" style="2" bestFit="1" customWidth="1"/>
    <col min="12812" max="12812" width="11.140625" style="2" customWidth="1"/>
    <col min="12813" max="12813" width="8.5703125" style="2" bestFit="1" customWidth="1"/>
    <col min="12814" max="12814" width="14.42578125" style="2" customWidth="1"/>
    <col min="12815" max="12815" width="14.28515625" style="2" bestFit="1" customWidth="1"/>
    <col min="12816" max="13056" width="13.42578125" style="2"/>
    <col min="13057" max="13057" width="34.85546875" style="2" customWidth="1"/>
    <col min="13058" max="13058" width="12.7109375" style="2" customWidth="1"/>
    <col min="13059" max="13059" width="9.5703125" style="2" customWidth="1"/>
    <col min="13060" max="13060" width="9.85546875" style="2" customWidth="1"/>
    <col min="13061" max="13061" width="10.5703125" style="2" bestFit="1" customWidth="1"/>
    <col min="13062" max="13062" width="9.85546875" style="2" customWidth="1"/>
    <col min="13063" max="13063" width="9.140625" style="2" customWidth="1"/>
    <col min="13064" max="13064" width="10.5703125" style="2" bestFit="1" customWidth="1"/>
    <col min="13065" max="13065" width="14.7109375" style="2" customWidth="1"/>
    <col min="13066" max="13066" width="9.85546875" style="2" customWidth="1"/>
    <col min="13067" max="13067" width="9.5703125" style="2" bestFit="1" customWidth="1"/>
    <col min="13068" max="13068" width="11.140625" style="2" customWidth="1"/>
    <col min="13069" max="13069" width="8.5703125" style="2" bestFit="1" customWidth="1"/>
    <col min="13070" max="13070" width="14.42578125" style="2" customWidth="1"/>
    <col min="13071" max="13071" width="14.28515625" style="2" bestFit="1" customWidth="1"/>
    <col min="13072" max="13312" width="13.42578125" style="2"/>
    <col min="13313" max="13313" width="34.85546875" style="2" customWidth="1"/>
    <col min="13314" max="13314" width="12.7109375" style="2" customWidth="1"/>
    <col min="13315" max="13315" width="9.5703125" style="2" customWidth="1"/>
    <col min="13316" max="13316" width="9.85546875" style="2" customWidth="1"/>
    <col min="13317" max="13317" width="10.5703125" style="2" bestFit="1" customWidth="1"/>
    <col min="13318" max="13318" width="9.85546875" style="2" customWidth="1"/>
    <col min="13319" max="13319" width="9.140625" style="2" customWidth="1"/>
    <col min="13320" max="13320" width="10.5703125" style="2" bestFit="1" customWidth="1"/>
    <col min="13321" max="13321" width="14.7109375" style="2" customWidth="1"/>
    <col min="13322" max="13322" width="9.85546875" style="2" customWidth="1"/>
    <col min="13323" max="13323" width="9.5703125" style="2" bestFit="1" customWidth="1"/>
    <col min="13324" max="13324" width="11.140625" style="2" customWidth="1"/>
    <col min="13325" max="13325" width="8.5703125" style="2" bestFit="1" customWidth="1"/>
    <col min="13326" max="13326" width="14.42578125" style="2" customWidth="1"/>
    <col min="13327" max="13327" width="14.28515625" style="2" bestFit="1" customWidth="1"/>
    <col min="13328" max="13568" width="13.42578125" style="2"/>
    <col min="13569" max="13569" width="34.85546875" style="2" customWidth="1"/>
    <col min="13570" max="13570" width="12.7109375" style="2" customWidth="1"/>
    <col min="13571" max="13571" width="9.5703125" style="2" customWidth="1"/>
    <col min="13572" max="13572" width="9.85546875" style="2" customWidth="1"/>
    <col min="13573" max="13573" width="10.5703125" style="2" bestFit="1" customWidth="1"/>
    <col min="13574" max="13574" width="9.85546875" style="2" customWidth="1"/>
    <col min="13575" max="13575" width="9.140625" style="2" customWidth="1"/>
    <col min="13576" max="13576" width="10.5703125" style="2" bestFit="1" customWidth="1"/>
    <col min="13577" max="13577" width="14.7109375" style="2" customWidth="1"/>
    <col min="13578" max="13578" width="9.85546875" style="2" customWidth="1"/>
    <col min="13579" max="13579" width="9.5703125" style="2" bestFit="1" customWidth="1"/>
    <col min="13580" max="13580" width="11.140625" style="2" customWidth="1"/>
    <col min="13581" max="13581" width="8.5703125" style="2" bestFit="1" customWidth="1"/>
    <col min="13582" max="13582" width="14.42578125" style="2" customWidth="1"/>
    <col min="13583" max="13583" width="14.28515625" style="2" bestFit="1" customWidth="1"/>
    <col min="13584" max="13824" width="13.42578125" style="2"/>
    <col min="13825" max="13825" width="34.85546875" style="2" customWidth="1"/>
    <col min="13826" max="13826" width="12.7109375" style="2" customWidth="1"/>
    <col min="13827" max="13827" width="9.5703125" style="2" customWidth="1"/>
    <col min="13828" max="13828" width="9.85546875" style="2" customWidth="1"/>
    <col min="13829" max="13829" width="10.5703125" style="2" bestFit="1" customWidth="1"/>
    <col min="13830" max="13830" width="9.85546875" style="2" customWidth="1"/>
    <col min="13831" max="13831" width="9.140625" style="2" customWidth="1"/>
    <col min="13832" max="13832" width="10.5703125" style="2" bestFit="1" customWidth="1"/>
    <col min="13833" max="13833" width="14.7109375" style="2" customWidth="1"/>
    <col min="13834" max="13834" width="9.85546875" style="2" customWidth="1"/>
    <col min="13835" max="13835" width="9.5703125" style="2" bestFit="1" customWidth="1"/>
    <col min="13836" max="13836" width="11.140625" style="2" customWidth="1"/>
    <col min="13837" max="13837" width="8.5703125" style="2" bestFit="1" customWidth="1"/>
    <col min="13838" max="13838" width="14.42578125" style="2" customWidth="1"/>
    <col min="13839" max="13839" width="14.28515625" style="2" bestFit="1" customWidth="1"/>
    <col min="13840" max="14080" width="13.42578125" style="2"/>
    <col min="14081" max="14081" width="34.85546875" style="2" customWidth="1"/>
    <col min="14082" max="14082" width="12.7109375" style="2" customWidth="1"/>
    <col min="14083" max="14083" width="9.5703125" style="2" customWidth="1"/>
    <col min="14084" max="14084" width="9.85546875" style="2" customWidth="1"/>
    <col min="14085" max="14085" width="10.5703125" style="2" bestFit="1" customWidth="1"/>
    <col min="14086" max="14086" width="9.85546875" style="2" customWidth="1"/>
    <col min="14087" max="14087" width="9.140625" style="2" customWidth="1"/>
    <col min="14088" max="14088" width="10.5703125" style="2" bestFit="1" customWidth="1"/>
    <col min="14089" max="14089" width="14.7109375" style="2" customWidth="1"/>
    <col min="14090" max="14090" width="9.85546875" style="2" customWidth="1"/>
    <col min="14091" max="14091" width="9.5703125" style="2" bestFit="1" customWidth="1"/>
    <col min="14092" max="14092" width="11.140625" style="2" customWidth="1"/>
    <col min="14093" max="14093" width="8.5703125" style="2" bestFit="1" customWidth="1"/>
    <col min="14094" max="14094" width="14.42578125" style="2" customWidth="1"/>
    <col min="14095" max="14095" width="14.28515625" style="2" bestFit="1" customWidth="1"/>
    <col min="14096" max="14336" width="13.42578125" style="2"/>
    <col min="14337" max="14337" width="34.85546875" style="2" customWidth="1"/>
    <col min="14338" max="14338" width="12.7109375" style="2" customWidth="1"/>
    <col min="14339" max="14339" width="9.5703125" style="2" customWidth="1"/>
    <col min="14340" max="14340" width="9.85546875" style="2" customWidth="1"/>
    <col min="14341" max="14341" width="10.5703125" style="2" bestFit="1" customWidth="1"/>
    <col min="14342" max="14342" width="9.85546875" style="2" customWidth="1"/>
    <col min="14343" max="14343" width="9.140625" style="2" customWidth="1"/>
    <col min="14344" max="14344" width="10.5703125" style="2" bestFit="1" customWidth="1"/>
    <col min="14345" max="14345" width="14.7109375" style="2" customWidth="1"/>
    <col min="14346" max="14346" width="9.85546875" style="2" customWidth="1"/>
    <col min="14347" max="14347" width="9.5703125" style="2" bestFit="1" customWidth="1"/>
    <col min="14348" max="14348" width="11.140625" style="2" customWidth="1"/>
    <col min="14349" max="14349" width="8.5703125" style="2" bestFit="1" customWidth="1"/>
    <col min="14350" max="14350" width="14.42578125" style="2" customWidth="1"/>
    <col min="14351" max="14351" width="14.28515625" style="2" bestFit="1" customWidth="1"/>
    <col min="14352" max="14592" width="13.42578125" style="2"/>
    <col min="14593" max="14593" width="34.85546875" style="2" customWidth="1"/>
    <col min="14594" max="14594" width="12.7109375" style="2" customWidth="1"/>
    <col min="14595" max="14595" width="9.5703125" style="2" customWidth="1"/>
    <col min="14596" max="14596" width="9.85546875" style="2" customWidth="1"/>
    <col min="14597" max="14597" width="10.5703125" style="2" bestFit="1" customWidth="1"/>
    <col min="14598" max="14598" width="9.85546875" style="2" customWidth="1"/>
    <col min="14599" max="14599" width="9.140625" style="2" customWidth="1"/>
    <col min="14600" max="14600" width="10.5703125" style="2" bestFit="1" customWidth="1"/>
    <col min="14601" max="14601" width="14.7109375" style="2" customWidth="1"/>
    <col min="14602" max="14602" width="9.85546875" style="2" customWidth="1"/>
    <col min="14603" max="14603" width="9.5703125" style="2" bestFit="1" customWidth="1"/>
    <col min="14604" max="14604" width="11.140625" style="2" customWidth="1"/>
    <col min="14605" max="14605" width="8.5703125" style="2" bestFit="1" customWidth="1"/>
    <col min="14606" max="14606" width="14.42578125" style="2" customWidth="1"/>
    <col min="14607" max="14607" width="14.28515625" style="2" bestFit="1" customWidth="1"/>
    <col min="14608" max="14848" width="13.42578125" style="2"/>
    <col min="14849" max="14849" width="34.85546875" style="2" customWidth="1"/>
    <col min="14850" max="14850" width="12.7109375" style="2" customWidth="1"/>
    <col min="14851" max="14851" width="9.5703125" style="2" customWidth="1"/>
    <col min="14852" max="14852" width="9.85546875" style="2" customWidth="1"/>
    <col min="14853" max="14853" width="10.5703125" style="2" bestFit="1" customWidth="1"/>
    <col min="14854" max="14854" width="9.85546875" style="2" customWidth="1"/>
    <col min="14855" max="14855" width="9.140625" style="2" customWidth="1"/>
    <col min="14856" max="14856" width="10.5703125" style="2" bestFit="1" customWidth="1"/>
    <col min="14857" max="14857" width="14.7109375" style="2" customWidth="1"/>
    <col min="14858" max="14858" width="9.85546875" style="2" customWidth="1"/>
    <col min="14859" max="14859" width="9.5703125" style="2" bestFit="1" customWidth="1"/>
    <col min="14860" max="14860" width="11.140625" style="2" customWidth="1"/>
    <col min="14861" max="14861" width="8.5703125" style="2" bestFit="1" customWidth="1"/>
    <col min="14862" max="14862" width="14.42578125" style="2" customWidth="1"/>
    <col min="14863" max="14863" width="14.28515625" style="2" bestFit="1" customWidth="1"/>
    <col min="14864" max="15104" width="13.42578125" style="2"/>
    <col min="15105" max="15105" width="34.85546875" style="2" customWidth="1"/>
    <col min="15106" max="15106" width="12.7109375" style="2" customWidth="1"/>
    <col min="15107" max="15107" width="9.5703125" style="2" customWidth="1"/>
    <col min="15108" max="15108" width="9.85546875" style="2" customWidth="1"/>
    <col min="15109" max="15109" width="10.5703125" style="2" bestFit="1" customWidth="1"/>
    <col min="15110" max="15110" width="9.85546875" style="2" customWidth="1"/>
    <col min="15111" max="15111" width="9.140625" style="2" customWidth="1"/>
    <col min="15112" max="15112" width="10.5703125" style="2" bestFit="1" customWidth="1"/>
    <col min="15113" max="15113" width="14.7109375" style="2" customWidth="1"/>
    <col min="15114" max="15114" width="9.85546875" style="2" customWidth="1"/>
    <col min="15115" max="15115" width="9.5703125" style="2" bestFit="1" customWidth="1"/>
    <col min="15116" max="15116" width="11.140625" style="2" customWidth="1"/>
    <col min="15117" max="15117" width="8.5703125" style="2" bestFit="1" customWidth="1"/>
    <col min="15118" max="15118" width="14.42578125" style="2" customWidth="1"/>
    <col min="15119" max="15119" width="14.28515625" style="2" bestFit="1" customWidth="1"/>
    <col min="15120" max="15360" width="13.42578125" style="2"/>
    <col min="15361" max="15361" width="34.85546875" style="2" customWidth="1"/>
    <col min="15362" max="15362" width="12.7109375" style="2" customWidth="1"/>
    <col min="15363" max="15363" width="9.5703125" style="2" customWidth="1"/>
    <col min="15364" max="15364" width="9.85546875" style="2" customWidth="1"/>
    <col min="15365" max="15365" width="10.5703125" style="2" bestFit="1" customWidth="1"/>
    <col min="15366" max="15366" width="9.85546875" style="2" customWidth="1"/>
    <col min="15367" max="15367" width="9.140625" style="2" customWidth="1"/>
    <col min="15368" max="15368" width="10.5703125" style="2" bestFit="1" customWidth="1"/>
    <col min="15369" max="15369" width="14.7109375" style="2" customWidth="1"/>
    <col min="15370" max="15370" width="9.85546875" style="2" customWidth="1"/>
    <col min="15371" max="15371" width="9.5703125" style="2" bestFit="1" customWidth="1"/>
    <col min="15372" max="15372" width="11.140625" style="2" customWidth="1"/>
    <col min="15373" max="15373" width="8.5703125" style="2" bestFit="1" customWidth="1"/>
    <col min="15374" max="15374" width="14.42578125" style="2" customWidth="1"/>
    <col min="15375" max="15375" width="14.28515625" style="2" bestFit="1" customWidth="1"/>
    <col min="15376" max="15616" width="13.42578125" style="2"/>
    <col min="15617" max="15617" width="34.85546875" style="2" customWidth="1"/>
    <col min="15618" max="15618" width="12.7109375" style="2" customWidth="1"/>
    <col min="15619" max="15619" width="9.5703125" style="2" customWidth="1"/>
    <col min="15620" max="15620" width="9.85546875" style="2" customWidth="1"/>
    <col min="15621" max="15621" width="10.5703125" style="2" bestFit="1" customWidth="1"/>
    <col min="15622" max="15622" width="9.85546875" style="2" customWidth="1"/>
    <col min="15623" max="15623" width="9.140625" style="2" customWidth="1"/>
    <col min="15624" max="15624" width="10.5703125" style="2" bestFit="1" customWidth="1"/>
    <col min="15625" max="15625" width="14.7109375" style="2" customWidth="1"/>
    <col min="15626" max="15626" width="9.85546875" style="2" customWidth="1"/>
    <col min="15627" max="15627" width="9.5703125" style="2" bestFit="1" customWidth="1"/>
    <col min="15628" max="15628" width="11.140625" style="2" customWidth="1"/>
    <col min="15629" max="15629" width="8.5703125" style="2" bestFit="1" customWidth="1"/>
    <col min="15630" max="15630" width="14.42578125" style="2" customWidth="1"/>
    <col min="15631" max="15631" width="14.28515625" style="2" bestFit="1" customWidth="1"/>
    <col min="15632" max="15872" width="13.42578125" style="2"/>
    <col min="15873" max="15873" width="34.85546875" style="2" customWidth="1"/>
    <col min="15874" max="15874" width="12.7109375" style="2" customWidth="1"/>
    <col min="15875" max="15875" width="9.5703125" style="2" customWidth="1"/>
    <col min="15876" max="15876" width="9.85546875" style="2" customWidth="1"/>
    <col min="15877" max="15877" width="10.5703125" style="2" bestFit="1" customWidth="1"/>
    <col min="15878" max="15878" width="9.85546875" style="2" customWidth="1"/>
    <col min="15879" max="15879" width="9.140625" style="2" customWidth="1"/>
    <col min="15880" max="15880" width="10.5703125" style="2" bestFit="1" customWidth="1"/>
    <col min="15881" max="15881" width="14.7109375" style="2" customWidth="1"/>
    <col min="15882" max="15882" width="9.85546875" style="2" customWidth="1"/>
    <col min="15883" max="15883" width="9.5703125" style="2" bestFit="1" customWidth="1"/>
    <col min="15884" max="15884" width="11.140625" style="2" customWidth="1"/>
    <col min="15885" max="15885" width="8.5703125" style="2" bestFit="1" customWidth="1"/>
    <col min="15886" max="15886" width="14.42578125" style="2" customWidth="1"/>
    <col min="15887" max="15887" width="14.28515625" style="2" bestFit="1" customWidth="1"/>
    <col min="15888" max="16128" width="13.42578125" style="2"/>
    <col min="16129" max="16129" width="34.85546875" style="2" customWidth="1"/>
    <col min="16130" max="16130" width="12.7109375" style="2" customWidth="1"/>
    <col min="16131" max="16131" width="9.5703125" style="2" customWidth="1"/>
    <col min="16132" max="16132" width="9.85546875" style="2" customWidth="1"/>
    <col min="16133" max="16133" width="10.5703125" style="2" bestFit="1" customWidth="1"/>
    <col min="16134" max="16134" width="9.85546875" style="2" customWidth="1"/>
    <col min="16135" max="16135" width="9.140625" style="2" customWidth="1"/>
    <col min="16136" max="16136" width="10.5703125" style="2" bestFit="1" customWidth="1"/>
    <col min="16137" max="16137" width="14.7109375" style="2" customWidth="1"/>
    <col min="16138" max="16138" width="9.85546875" style="2" customWidth="1"/>
    <col min="16139" max="16139" width="9.5703125" style="2" bestFit="1" customWidth="1"/>
    <col min="16140" max="16140" width="11.140625" style="2" customWidth="1"/>
    <col min="16141" max="16141" width="8.5703125" style="2" bestFit="1" customWidth="1"/>
    <col min="16142" max="16142" width="14.42578125" style="2" customWidth="1"/>
    <col min="16143" max="16143" width="14.28515625" style="2" bestFit="1" customWidth="1"/>
    <col min="16144" max="16384" width="13.42578125" style="2"/>
  </cols>
  <sheetData>
    <row r="1" spans="1:15" x14ac:dyDescent="0.2">
      <c r="A1" s="690" t="s">
        <v>27</v>
      </c>
      <c r="B1" s="690"/>
      <c r="C1" s="690"/>
      <c r="D1" s="690"/>
      <c r="E1" s="690"/>
      <c r="F1" s="690"/>
      <c r="G1" s="690"/>
      <c r="H1" s="690"/>
      <c r="I1" s="690"/>
      <c r="J1" s="690"/>
      <c r="K1" s="690"/>
      <c r="L1" s="690"/>
      <c r="M1" s="690"/>
      <c r="N1" s="690"/>
      <c r="O1" s="690"/>
    </row>
    <row r="2" spans="1:15" x14ac:dyDescent="0.2">
      <c r="A2" s="690" t="s">
        <v>62</v>
      </c>
      <c r="B2" s="690"/>
      <c r="C2" s="690"/>
      <c r="D2" s="690"/>
      <c r="E2" s="690"/>
      <c r="F2" s="690"/>
      <c r="G2" s="690"/>
      <c r="H2" s="690"/>
      <c r="I2" s="690"/>
      <c r="J2" s="690"/>
      <c r="K2" s="690"/>
      <c r="L2" s="690"/>
      <c r="M2" s="690"/>
      <c r="N2" s="690"/>
      <c r="O2" s="690"/>
    </row>
    <row r="3" spans="1:15" x14ac:dyDescent="0.2">
      <c r="A3" s="690" t="s">
        <v>964</v>
      </c>
      <c r="B3" s="690"/>
      <c r="C3" s="690"/>
      <c r="D3" s="690"/>
      <c r="E3" s="690"/>
      <c r="F3" s="690"/>
      <c r="G3" s="690"/>
      <c r="H3" s="690"/>
      <c r="I3" s="690"/>
      <c r="J3" s="690"/>
      <c r="K3" s="690"/>
      <c r="L3" s="690"/>
      <c r="M3" s="690"/>
      <c r="N3" s="690"/>
      <c r="O3" s="690"/>
    </row>
    <row r="4" spans="1:15" x14ac:dyDescent="0.2">
      <c r="A4" s="1"/>
      <c r="B4" s="1"/>
      <c r="C4" s="1"/>
      <c r="D4" s="1"/>
      <c r="E4" s="1"/>
      <c r="F4" s="1"/>
      <c r="G4" s="1"/>
      <c r="H4" s="1"/>
      <c r="I4" s="1"/>
      <c r="J4" s="1"/>
      <c r="K4" s="1"/>
      <c r="L4" s="1"/>
      <c r="M4" s="1"/>
      <c r="N4" s="1"/>
      <c r="O4" s="1"/>
    </row>
    <row r="5" spans="1:15" x14ac:dyDescent="0.2">
      <c r="A5" s="154" t="s">
        <v>20</v>
      </c>
      <c r="B5" s="726" t="s">
        <v>218</v>
      </c>
      <c r="C5" s="726"/>
      <c r="D5" s="726"/>
      <c r="E5" s="726"/>
      <c r="F5" s="726"/>
      <c r="G5" s="726"/>
      <c r="H5" s="1"/>
      <c r="I5" s="1"/>
      <c r="J5" s="1"/>
      <c r="K5" s="1"/>
      <c r="L5" s="1"/>
      <c r="M5" s="1"/>
      <c r="N5" s="1"/>
      <c r="O5" s="1"/>
    </row>
    <row r="6" spans="1:15" ht="15" customHeight="1" x14ac:dyDescent="0.2">
      <c r="A6" s="154" t="s">
        <v>115</v>
      </c>
      <c r="B6" s="405" t="str">
        <f>IFERROR(VLOOKUP(B5,[3]DESPLEGABLES!A2:B193,2,FALSE),"")</f>
        <v>MINISTERIO DE TECNOLOGIAS DE LA INFORMACION Y LAS COMUNICACIONES - UNIDAD ADMINISTRATIVA ESPECIAL COMISION DE REGULACION DE COMUNICACIONES</v>
      </c>
      <c r="C6" s="405"/>
      <c r="D6" s="405"/>
      <c r="E6" s="405"/>
      <c r="F6" s="405"/>
      <c r="G6" s="405"/>
      <c r="H6" s="305"/>
      <c r="I6" s="306"/>
      <c r="J6" s="306"/>
      <c r="K6" s="306"/>
      <c r="L6" s="306"/>
      <c r="M6" s="306"/>
      <c r="N6" s="306"/>
      <c r="O6" s="307"/>
    </row>
    <row r="7" spans="1:15" ht="15.75" customHeight="1" x14ac:dyDescent="0.2">
      <c r="A7" s="404" t="s">
        <v>734</v>
      </c>
      <c r="B7" s="727" t="s">
        <v>1172</v>
      </c>
      <c r="C7" s="727"/>
      <c r="D7" s="727"/>
      <c r="E7" s="727"/>
      <c r="F7" s="727"/>
      <c r="G7" s="727"/>
      <c r="H7" s="1"/>
      <c r="I7" s="1"/>
      <c r="J7" s="1"/>
      <c r="K7" s="1"/>
      <c r="L7" s="1"/>
      <c r="M7" s="1"/>
      <c r="N7" s="1"/>
      <c r="O7" s="1"/>
    </row>
    <row r="8" spans="1:15" x14ac:dyDescent="0.2">
      <c r="A8" s="1"/>
      <c r="B8" s="16"/>
      <c r="C8" s="1"/>
      <c r="D8" s="1"/>
      <c r="E8" s="1"/>
      <c r="F8" s="1"/>
      <c r="G8" s="1"/>
      <c r="H8" s="1"/>
      <c r="I8" s="1"/>
      <c r="J8" s="1"/>
      <c r="K8" s="1"/>
      <c r="L8" s="1"/>
      <c r="M8" s="1"/>
      <c r="N8" s="1"/>
      <c r="O8" s="1"/>
    </row>
    <row r="9" spans="1:15" x14ac:dyDescent="0.2">
      <c r="A9" s="728" t="s">
        <v>28</v>
      </c>
      <c r="B9" s="728"/>
      <c r="C9" s="308">
        <v>2020</v>
      </c>
      <c r="D9" s="1"/>
      <c r="E9" s="1"/>
      <c r="F9" s="1"/>
      <c r="G9" s="1"/>
      <c r="H9" s="1"/>
      <c r="I9" s="248" t="s">
        <v>972</v>
      </c>
      <c r="J9" s="1"/>
      <c r="K9" s="1"/>
      <c r="L9" s="1"/>
      <c r="M9" s="1"/>
      <c r="N9" s="1"/>
      <c r="O9" s="1"/>
    </row>
    <row r="10" spans="1:15" ht="12" thickBot="1" x14ac:dyDescent="0.25">
      <c r="A10" s="1"/>
      <c r="B10" s="1"/>
      <c r="C10" s="1"/>
      <c r="D10" s="1"/>
      <c r="E10" s="1"/>
      <c r="F10" s="1"/>
      <c r="G10" s="1"/>
      <c r="H10" s="1"/>
      <c r="I10" s="1"/>
      <c r="J10" s="1"/>
      <c r="K10" s="1"/>
      <c r="L10" s="1"/>
      <c r="M10" s="1"/>
      <c r="N10" s="1"/>
      <c r="O10" s="1"/>
    </row>
    <row r="11" spans="1:15" ht="19.5" customHeight="1" thickTop="1" x14ac:dyDescent="0.2">
      <c r="A11" s="712" t="s">
        <v>29</v>
      </c>
      <c r="B11" s="714" t="s">
        <v>737</v>
      </c>
      <c r="C11" s="413"/>
      <c r="D11" s="716" t="s">
        <v>30</v>
      </c>
      <c r="E11" s="717"/>
      <c r="F11" s="718"/>
      <c r="G11" s="716" t="s">
        <v>31</v>
      </c>
      <c r="H11" s="717"/>
      <c r="I11" s="718"/>
      <c r="J11" s="716" t="s">
        <v>32</v>
      </c>
      <c r="K11" s="717"/>
      <c r="L11" s="717"/>
      <c r="M11" s="717"/>
      <c r="N11" s="717"/>
      <c r="O11" s="719"/>
    </row>
    <row r="12" spans="1:15" ht="18.75" customHeight="1" x14ac:dyDescent="0.2">
      <c r="A12" s="713"/>
      <c r="B12" s="715"/>
      <c r="C12" s="415" t="s">
        <v>33</v>
      </c>
      <c r="D12" s="416" t="s">
        <v>34</v>
      </c>
      <c r="E12" s="415" t="s">
        <v>35</v>
      </c>
      <c r="F12" s="720" t="s">
        <v>36</v>
      </c>
      <c r="G12" s="416" t="s">
        <v>34</v>
      </c>
      <c r="H12" s="415" t="s">
        <v>35</v>
      </c>
      <c r="I12" s="415" t="s">
        <v>36</v>
      </c>
      <c r="J12" s="722" t="s">
        <v>34</v>
      </c>
      <c r="K12" s="723"/>
      <c r="L12" s="724" t="s">
        <v>37</v>
      </c>
      <c r="M12" s="725"/>
      <c r="N12" s="417" t="s">
        <v>36</v>
      </c>
      <c r="O12" s="418" t="s">
        <v>38</v>
      </c>
    </row>
    <row r="13" spans="1:15" x14ac:dyDescent="0.2">
      <c r="A13" s="713"/>
      <c r="B13" s="715"/>
      <c r="C13" s="415" t="s">
        <v>39</v>
      </c>
      <c r="D13" s="415" t="s">
        <v>40</v>
      </c>
      <c r="E13" s="415" t="s">
        <v>41</v>
      </c>
      <c r="F13" s="721"/>
      <c r="G13" s="415" t="s">
        <v>40</v>
      </c>
      <c r="H13" s="415" t="s">
        <v>41</v>
      </c>
      <c r="I13" s="415"/>
      <c r="J13" s="419" t="s">
        <v>42</v>
      </c>
      <c r="K13" s="415" t="s">
        <v>43</v>
      </c>
      <c r="L13" s="415" t="s">
        <v>42</v>
      </c>
      <c r="M13" s="415" t="s">
        <v>35</v>
      </c>
      <c r="N13" s="415"/>
      <c r="O13" s="418" t="s">
        <v>44</v>
      </c>
    </row>
    <row r="14" spans="1:15" x14ac:dyDescent="0.2">
      <c r="A14" s="713"/>
      <c r="B14" s="715"/>
      <c r="C14" s="415"/>
      <c r="D14" s="415"/>
      <c r="E14" s="415" t="s">
        <v>45</v>
      </c>
      <c r="F14" s="415"/>
      <c r="G14" s="415"/>
      <c r="H14" s="415" t="s">
        <v>45</v>
      </c>
      <c r="I14" s="415"/>
      <c r="J14" s="415" t="s">
        <v>46</v>
      </c>
      <c r="K14" s="415" t="s">
        <v>40</v>
      </c>
      <c r="L14" s="415" t="s">
        <v>46</v>
      </c>
      <c r="M14" s="415" t="s">
        <v>45</v>
      </c>
      <c r="N14" s="415"/>
      <c r="O14" s="418" t="s">
        <v>47</v>
      </c>
    </row>
    <row r="15" spans="1:15" ht="12" thickBot="1" x14ac:dyDescent="0.25">
      <c r="A15" s="420">
        <v>1</v>
      </c>
      <c r="B15" s="421">
        <v>2</v>
      </c>
      <c r="C15" s="421">
        <v>3</v>
      </c>
      <c r="D15" s="421">
        <v>4</v>
      </c>
      <c r="E15" s="421">
        <v>5</v>
      </c>
      <c r="F15" s="421" t="s">
        <v>83</v>
      </c>
      <c r="G15" s="421">
        <v>7</v>
      </c>
      <c r="H15" s="421">
        <v>8</v>
      </c>
      <c r="I15" s="421" t="s">
        <v>84</v>
      </c>
      <c r="J15" s="421">
        <v>10</v>
      </c>
      <c r="K15" s="421" t="s">
        <v>85</v>
      </c>
      <c r="L15" s="421">
        <v>12</v>
      </c>
      <c r="M15" s="421" t="s">
        <v>86</v>
      </c>
      <c r="N15" s="421" t="s">
        <v>87</v>
      </c>
      <c r="O15" s="422" t="s">
        <v>88</v>
      </c>
    </row>
    <row r="16" spans="1:15" ht="12.75" thickTop="1" thickBot="1" x14ac:dyDescent="0.25">
      <c r="A16" s="423" t="s">
        <v>837</v>
      </c>
      <c r="B16" s="424"/>
      <c r="C16" s="425"/>
      <c r="D16" s="426"/>
      <c r="E16" s="427"/>
      <c r="F16" s="428">
        <f>F17</f>
        <v>0</v>
      </c>
      <c r="G16" s="429"/>
      <c r="H16" s="430"/>
      <c r="I16" s="428">
        <f>I17</f>
        <v>0</v>
      </c>
      <c r="J16" s="431"/>
      <c r="K16" s="429"/>
      <c r="L16" s="431"/>
      <c r="M16" s="430"/>
      <c r="N16" s="428">
        <f>N17</f>
        <v>0</v>
      </c>
      <c r="O16" s="432">
        <f>O17</f>
        <v>0</v>
      </c>
    </row>
    <row r="17" spans="1:15" ht="12.75" thickTop="1" thickBot="1" x14ac:dyDescent="0.25">
      <c r="A17" s="424" t="s">
        <v>838</v>
      </c>
      <c r="B17" s="433"/>
      <c r="C17" s="434"/>
      <c r="D17" s="435"/>
      <c r="E17" s="436"/>
      <c r="F17" s="437">
        <f>F19</f>
        <v>0</v>
      </c>
      <c r="G17" s="435"/>
      <c r="H17" s="438"/>
      <c r="I17" s="437">
        <f>I19</f>
        <v>0</v>
      </c>
      <c r="J17" s="439"/>
      <c r="K17" s="435"/>
      <c r="L17" s="439"/>
      <c r="M17" s="438"/>
      <c r="N17" s="440">
        <f>N19</f>
        <v>0</v>
      </c>
      <c r="O17" s="441">
        <f>O19</f>
        <v>0</v>
      </c>
    </row>
    <row r="18" spans="1:15" ht="12" thickTop="1" x14ac:dyDescent="0.2">
      <c r="A18" s="442"/>
      <c r="B18" s="443"/>
      <c r="C18" s="444"/>
      <c r="D18" s="445"/>
      <c r="E18" s="446"/>
      <c r="F18" s="447">
        <f>E18*D18</f>
        <v>0</v>
      </c>
      <c r="G18" s="445"/>
      <c r="H18" s="448"/>
      <c r="I18" s="447">
        <f>G18*H18</f>
        <v>0</v>
      </c>
      <c r="J18" s="449"/>
      <c r="K18" s="450">
        <f>G18*J18</f>
        <v>0</v>
      </c>
      <c r="L18" s="449"/>
      <c r="M18" s="451">
        <f>H18*L18</f>
        <v>0</v>
      </c>
      <c r="N18" s="452">
        <f>K18*M18</f>
        <v>0</v>
      </c>
      <c r="O18" s="453">
        <f>H18*K18</f>
        <v>0</v>
      </c>
    </row>
    <row r="19" spans="1:15" s="113" customFormat="1" ht="12" thickBot="1" x14ac:dyDescent="0.25">
      <c r="A19" s="78" t="s">
        <v>48</v>
      </c>
      <c r="B19" s="309"/>
      <c r="C19" s="73"/>
      <c r="D19" s="104">
        <f>D18</f>
        <v>0</v>
      </c>
      <c r="E19" s="310"/>
      <c r="F19" s="310">
        <f>F18</f>
        <v>0</v>
      </c>
      <c r="G19" s="104">
        <f>G18</f>
        <v>0</v>
      </c>
      <c r="H19" s="310"/>
      <c r="I19" s="310">
        <f>I18</f>
        <v>0</v>
      </c>
      <c r="J19" s="73"/>
      <c r="K19" s="110">
        <f>K18</f>
        <v>0</v>
      </c>
      <c r="L19" s="73"/>
      <c r="M19" s="310"/>
      <c r="N19" s="311">
        <f>N18</f>
        <v>0</v>
      </c>
      <c r="O19" s="312">
        <f>O18</f>
        <v>0</v>
      </c>
    </row>
    <row r="20" spans="1:15" ht="12.75" thickTop="1" thickBot="1" x14ac:dyDescent="0.25">
      <c r="A20" s="423" t="s">
        <v>739</v>
      </c>
      <c r="B20" s="424"/>
      <c r="C20" s="425"/>
      <c r="D20" s="426"/>
      <c r="E20" s="454"/>
      <c r="F20" s="455">
        <f>F21+F38+F42+F49+F52+F103</f>
        <v>0</v>
      </c>
      <c r="G20" s="429"/>
      <c r="H20" s="456"/>
      <c r="I20" s="455">
        <f>I21+I38+I42+I49+I52+I103</f>
        <v>32117729924</v>
      </c>
      <c r="J20" s="431"/>
      <c r="K20" s="429"/>
      <c r="L20" s="431"/>
      <c r="M20" s="456"/>
      <c r="N20" s="457">
        <f>N21+N38+N42+N49+N52+N103</f>
        <v>70532798000</v>
      </c>
      <c r="O20" s="458">
        <f>O21+O38+O42+O49+O52+O103</f>
        <v>70532798000</v>
      </c>
    </row>
    <row r="21" spans="1:15" ht="12.75" thickTop="1" thickBot="1" x14ac:dyDescent="0.25">
      <c r="A21" s="424" t="s">
        <v>740</v>
      </c>
      <c r="B21" s="433"/>
      <c r="C21" s="434"/>
      <c r="D21" s="435"/>
      <c r="E21" s="436"/>
      <c r="F21" s="437">
        <f>F22+F26+F29+F33</f>
        <v>0</v>
      </c>
      <c r="G21" s="435"/>
      <c r="H21" s="438"/>
      <c r="I21" s="437">
        <f>I22+I26+I29+I33</f>
        <v>32117729924</v>
      </c>
      <c r="J21" s="439"/>
      <c r="K21" s="435"/>
      <c r="L21" s="439"/>
      <c r="M21" s="438"/>
      <c r="N21" s="440">
        <f>N22+N26+N29+N33</f>
        <v>70532798000</v>
      </c>
      <c r="O21" s="441">
        <f>O22+O26+O29+O33</f>
        <v>70532798000</v>
      </c>
    </row>
    <row r="22" spans="1:15" ht="12.75" thickTop="1" thickBot="1" x14ac:dyDescent="0.25">
      <c r="A22" s="459" t="s">
        <v>741</v>
      </c>
      <c r="B22" s="460"/>
      <c r="C22" s="461"/>
      <c r="D22" s="462"/>
      <c r="E22" s="463"/>
      <c r="F22" s="464">
        <f>F25</f>
        <v>0</v>
      </c>
      <c r="G22" s="462"/>
      <c r="H22" s="465"/>
      <c r="I22" s="464">
        <f>I25</f>
        <v>0</v>
      </c>
      <c r="J22" s="466"/>
      <c r="K22" s="462"/>
      <c r="L22" s="466"/>
      <c r="M22" s="465"/>
      <c r="N22" s="467">
        <f>N25</f>
        <v>0</v>
      </c>
      <c r="O22" s="468">
        <f>O25</f>
        <v>0</v>
      </c>
    </row>
    <row r="23" spans="1:15" ht="12" thickTop="1" x14ac:dyDescent="0.2">
      <c r="A23" s="322"/>
      <c r="B23" s="323"/>
      <c r="C23" s="324"/>
      <c r="D23" s="325"/>
      <c r="E23" s="326"/>
      <c r="F23" s="327">
        <f>E23*D23</f>
        <v>0</v>
      </c>
      <c r="G23" s="325"/>
      <c r="H23" s="326"/>
      <c r="I23" s="327">
        <f>H23*G23</f>
        <v>0</v>
      </c>
      <c r="J23" s="324"/>
      <c r="K23" s="328">
        <f>G23*J23</f>
        <v>0</v>
      </c>
      <c r="L23" s="324"/>
      <c r="M23" s="327">
        <f>H23*L23</f>
        <v>0</v>
      </c>
      <c r="N23" s="329">
        <f>K23*M23</f>
        <v>0</v>
      </c>
      <c r="O23" s="330">
        <f>H23*K23</f>
        <v>0</v>
      </c>
    </row>
    <row r="24" spans="1:15" x14ac:dyDescent="0.2">
      <c r="A24" s="331"/>
      <c r="B24" s="332"/>
      <c r="C24" s="324"/>
      <c r="D24" s="325"/>
      <c r="E24" s="326"/>
      <c r="F24" s="327">
        <f>E24*D24</f>
        <v>0</v>
      </c>
      <c r="G24" s="325"/>
      <c r="H24" s="326"/>
      <c r="I24" s="327">
        <f>H24*G24</f>
        <v>0</v>
      </c>
      <c r="J24" s="324"/>
      <c r="K24" s="328">
        <f>G24*J24</f>
        <v>0</v>
      </c>
      <c r="L24" s="324"/>
      <c r="M24" s="327">
        <f>H24*L24</f>
        <v>0</v>
      </c>
      <c r="N24" s="329">
        <f>K24*M24</f>
        <v>0</v>
      </c>
      <c r="O24" s="333">
        <f>H24*K24</f>
        <v>0</v>
      </c>
    </row>
    <row r="25" spans="1:15" s="113" customFormat="1" ht="12" thickBot="1" x14ac:dyDescent="0.25">
      <c r="A25" s="79" t="s">
        <v>48</v>
      </c>
      <c r="B25" s="334"/>
      <c r="C25" s="29"/>
      <c r="D25" s="101">
        <f>SUM(D23:D24)</f>
        <v>0</v>
      </c>
      <c r="E25" s="335"/>
      <c r="F25" s="335">
        <f>SUM(F23:F24)</f>
        <v>0</v>
      </c>
      <c r="G25" s="101">
        <f>SUM(G23:G24)</f>
        <v>0</v>
      </c>
      <c r="H25" s="335"/>
      <c r="I25" s="335">
        <f>SUM(I23:I24)</f>
        <v>0</v>
      </c>
      <c r="J25" s="29"/>
      <c r="K25" s="107">
        <f>SUM(K23:K24)</f>
        <v>0</v>
      </c>
      <c r="L25" s="29"/>
      <c r="M25" s="335"/>
      <c r="N25" s="336">
        <f>SUM(N23:N24)</f>
        <v>0</v>
      </c>
      <c r="O25" s="337">
        <f>SUM(O23:O24)</f>
        <v>0</v>
      </c>
    </row>
    <row r="26" spans="1:15" ht="12.75" thickTop="1" thickBot="1" x14ac:dyDescent="0.25">
      <c r="A26" s="459" t="s">
        <v>742</v>
      </c>
      <c r="B26" s="469"/>
      <c r="C26" s="470"/>
      <c r="D26" s="471"/>
      <c r="E26" s="472"/>
      <c r="F26" s="473">
        <f>F28</f>
        <v>0</v>
      </c>
      <c r="G26" s="471"/>
      <c r="H26" s="474"/>
      <c r="I26" s="473">
        <f>I28</f>
        <v>0</v>
      </c>
      <c r="J26" s="475"/>
      <c r="K26" s="471"/>
      <c r="L26" s="475"/>
      <c r="M26" s="474"/>
      <c r="N26" s="476">
        <f>N28</f>
        <v>0</v>
      </c>
      <c r="O26" s="477">
        <f>O28</f>
        <v>0</v>
      </c>
    </row>
    <row r="27" spans="1:15" ht="12" thickTop="1" x14ac:dyDescent="0.2">
      <c r="A27" s="74"/>
      <c r="B27" s="338"/>
      <c r="C27" s="75"/>
      <c r="D27" s="102"/>
      <c r="E27" s="339"/>
      <c r="F27" s="340">
        <f>E27*D27</f>
        <v>0</v>
      </c>
      <c r="G27" s="102"/>
      <c r="H27" s="339"/>
      <c r="I27" s="340">
        <f>H27*G27</f>
        <v>0</v>
      </c>
      <c r="J27" s="75"/>
      <c r="K27" s="108">
        <f>G27*J27</f>
        <v>0</v>
      </c>
      <c r="L27" s="75"/>
      <c r="M27" s="340">
        <f>H27*L27</f>
        <v>0</v>
      </c>
      <c r="N27" s="341">
        <f>K27*M27</f>
        <v>0</v>
      </c>
      <c r="O27" s="342">
        <f>H27*K27</f>
        <v>0</v>
      </c>
    </row>
    <row r="28" spans="1:15" s="113" customFormat="1" ht="12" thickBot="1" x14ac:dyDescent="0.25">
      <c r="A28" s="79" t="s">
        <v>49</v>
      </c>
      <c r="B28" s="343"/>
      <c r="C28" s="80"/>
      <c r="D28" s="103">
        <f>D27</f>
        <v>0</v>
      </c>
      <c r="E28" s="344"/>
      <c r="F28" s="344">
        <f>F27</f>
        <v>0</v>
      </c>
      <c r="G28" s="103">
        <f>G27</f>
        <v>0</v>
      </c>
      <c r="H28" s="344"/>
      <c r="I28" s="344">
        <f>I27</f>
        <v>0</v>
      </c>
      <c r="J28" s="80"/>
      <c r="K28" s="109">
        <f>K27</f>
        <v>0</v>
      </c>
      <c r="L28" s="80"/>
      <c r="M28" s="344"/>
      <c r="N28" s="345">
        <f>N27</f>
        <v>0</v>
      </c>
      <c r="O28" s="337">
        <f>O27</f>
        <v>0</v>
      </c>
    </row>
    <row r="29" spans="1:15" ht="12.75" thickTop="1" thickBot="1" x14ac:dyDescent="0.25">
      <c r="A29" s="346" t="s">
        <v>846</v>
      </c>
      <c r="B29" s="313"/>
      <c r="C29" s="314"/>
      <c r="D29" s="315"/>
      <c r="E29" s="316"/>
      <c r="F29" s="317">
        <f>F32</f>
        <v>0</v>
      </c>
      <c r="G29" s="315"/>
      <c r="H29" s="318"/>
      <c r="I29" s="317">
        <f>I32</f>
        <v>0</v>
      </c>
      <c r="J29" s="319"/>
      <c r="K29" s="315"/>
      <c r="L29" s="319"/>
      <c r="M29" s="318"/>
      <c r="N29" s="320">
        <f>N32</f>
        <v>0</v>
      </c>
      <c r="O29" s="321">
        <f>O32</f>
        <v>0</v>
      </c>
    </row>
    <row r="30" spans="1:15" ht="12" thickTop="1" x14ac:dyDescent="0.2">
      <c r="A30" s="347"/>
      <c r="B30" s="348"/>
      <c r="C30" s="324"/>
      <c r="D30" s="325"/>
      <c r="E30" s="326"/>
      <c r="F30" s="327">
        <f>E30*D30</f>
        <v>0</v>
      </c>
      <c r="G30" s="325"/>
      <c r="H30" s="326"/>
      <c r="I30" s="327">
        <f>H30*G30</f>
        <v>0</v>
      </c>
      <c r="J30" s="324"/>
      <c r="K30" s="328">
        <f>G30*J30</f>
        <v>0</v>
      </c>
      <c r="L30" s="324"/>
      <c r="M30" s="327">
        <f>H30*L30</f>
        <v>0</v>
      </c>
      <c r="N30" s="349">
        <f>K30*M30</f>
        <v>0</v>
      </c>
      <c r="O30" s="350">
        <f>H30*K30</f>
        <v>0</v>
      </c>
    </row>
    <row r="31" spans="1:15" x14ac:dyDescent="0.2">
      <c r="A31" s="351"/>
      <c r="B31" s="348"/>
      <c r="C31" s="324"/>
      <c r="D31" s="325"/>
      <c r="E31" s="326"/>
      <c r="F31" s="327">
        <f>E31*D31</f>
        <v>0</v>
      </c>
      <c r="G31" s="325"/>
      <c r="H31" s="326"/>
      <c r="I31" s="327">
        <f>H31*G31</f>
        <v>0</v>
      </c>
      <c r="J31" s="324"/>
      <c r="K31" s="328">
        <f>G31*J31</f>
        <v>0</v>
      </c>
      <c r="L31" s="324"/>
      <c r="M31" s="327">
        <f>H31*L31</f>
        <v>0</v>
      </c>
      <c r="N31" s="352">
        <f>K31*M31</f>
        <v>0</v>
      </c>
      <c r="O31" s="350">
        <f>H31*K31</f>
        <v>0</v>
      </c>
    </row>
    <row r="32" spans="1:15" s="113" customFormat="1" ht="12" thickBot="1" x14ac:dyDescent="0.25">
      <c r="A32" s="79" t="s">
        <v>50</v>
      </c>
      <c r="B32" s="343"/>
      <c r="C32" s="80"/>
      <c r="D32" s="103">
        <f>SUM(D30:D31)</f>
        <v>0</v>
      </c>
      <c r="E32" s="344"/>
      <c r="F32" s="344">
        <f>SUM(F30:F31)</f>
        <v>0</v>
      </c>
      <c r="G32" s="103">
        <f>SUM(G30:G31)</f>
        <v>0</v>
      </c>
      <c r="H32" s="344"/>
      <c r="I32" s="344">
        <f>SUM(I30:I31)</f>
        <v>0</v>
      </c>
      <c r="J32" s="80"/>
      <c r="K32" s="109">
        <f>SUM(K30:K31)</f>
        <v>0</v>
      </c>
      <c r="L32" s="80"/>
      <c r="M32" s="344"/>
      <c r="N32" s="345">
        <f>SUM(N30:N31)</f>
        <v>0</v>
      </c>
      <c r="O32" s="337">
        <f>SUM(O30:O31)</f>
        <v>0</v>
      </c>
    </row>
    <row r="33" spans="1:16" ht="12.75" thickTop="1" thickBot="1" x14ac:dyDescent="0.25">
      <c r="A33" s="478" t="s">
        <v>743</v>
      </c>
      <c r="B33" s="460"/>
      <c r="C33" s="461"/>
      <c r="D33" s="462"/>
      <c r="E33" s="463"/>
      <c r="F33" s="464">
        <f>F37</f>
        <v>0</v>
      </c>
      <c r="G33" s="462"/>
      <c r="H33" s="465"/>
      <c r="I33" s="464">
        <f>I37</f>
        <v>32117729924</v>
      </c>
      <c r="J33" s="466"/>
      <c r="K33" s="462"/>
      <c r="L33" s="466"/>
      <c r="M33" s="465"/>
      <c r="N33" s="467">
        <f>N37</f>
        <v>70532798000</v>
      </c>
      <c r="O33" s="468">
        <f>O37</f>
        <v>70532798000</v>
      </c>
      <c r="P33" s="113"/>
    </row>
    <row r="34" spans="1:16" ht="45.75" thickTop="1" x14ac:dyDescent="0.2">
      <c r="A34" s="522" t="s">
        <v>1175</v>
      </c>
      <c r="B34" s="348"/>
      <c r="C34" s="324"/>
      <c r="D34" s="523"/>
      <c r="E34" s="524"/>
      <c r="F34" s="525">
        <f>E34*D34</f>
        <v>0</v>
      </c>
      <c r="G34" s="523"/>
      <c r="H34" s="524"/>
      <c r="I34" s="525">
        <v>32117729924</v>
      </c>
      <c r="J34" s="526"/>
      <c r="K34" s="527">
        <f>G34*J34</f>
        <v>0</v>
      </c>
      <c r="L34" s="526"/>
      <c r="M34" s="525">
        <f>H34*L34</f>
        <v>0</v>
      </c>
      <c r="N34" s="528">
        <v>70532798000</v>
      </c>
      <c r="O34" s="528">
        <f>+N34</f>
        <v>70532798000</v>
      </c>
      <c r="P34" s="113"/>
    </row>
    <row r="35" spans="1:16" x14ac:dyDescent="0.2">
      <c r="A35" s="351"/>
      <c r="B35" s="348"/>
      <c r="C35" s="324"/>
      <c r="D35" s="325"/>
      <c r="E35" s="326"/>
      <c r="F35" s="327">
        <f>E35*D35</f>
        <v>0</v>
      </c>
      <c r="G35" s="325"/>
      <c r="H35" s="326"/>
      <c r="I35" s="327">
        <f>H35*G35</f>
        <v>0</v>
      </c>
      <c r="J35" s="324"/>
      <c r="K35" s="328">
        <f>G35*J35</f>
        <v>0</v>
      </c>
      <c r="L35" s="324"/>
      <c r="M35" s="327">
        <f>H35*L35</f>
        <v>0</v>
      </c>
      <c r="N35" s="353">
        <f>K35*M35</f>
        <v>0</v>
      </c>
      <c r="O35" s="350">
        <f>H35*K35</f>
        <v>0</v>
      </c>
    </row>
    <row r="36" spans="1:16" x14ac:dyDescent="0.2">
      <c r="A36" s="354"/>
      <c r="B36" s="348"/>
      <c r="C36" s="324"/>
      <c r="D36" s="325"/>
      <c r="E36" s="326"/>
      <c r="F36" s="327">
        <f>E36*D36</f>
        <v>0</v>
      </c>
      <c r="G36" s="325"/>
      <c r="H36" s="326"/>
      <c r="I36" s="327">
        <f>H36*G36</f>
        <v>0</v>
      </c>
      <c r="J36" s="324"/>
      <c r="K36" s="328">
        <f>G36*J36</f>
        <v>0</v>
      </c>
      <c r="L36" s="324"/>
      <c r="M36" s="327">
        <f>H36*L36</f>
        <v>0</v>
      </c>
      <c r="N36" s="352">
        <f>K36*M36</f>
        <v>0</v>
      </c>
      <c r="O36" s="350">
        <f>H36*K36</f>
        <v>0</v>
      </c>
    </row>
    <row r="37" spans="1:16" s="113" customFormat="1" ht="12" thickBot="1" x14ac:dyDescent="0.25">
      <c r="A37" s="355" t="s">
        <v>61</v>
      </c>
      <c r="B37" s="356"/>
      <c r="C37" s="357"/>
      <c r="D37" s="358">
        <f>SUM(D34:D36)</f>
        <v>0</v>
      </c>
      <c r="E37" s="359"/>
      <c r="F37" s="359">
        <f>SUM(F34:F36)</f>
        <v>0</v>
      </c>
      <c r="G37" s="358">
        <f>SUM(G34:G36)</f>
        <v>0</v>
      </c>
      <c r="H37" s="359"/>
      <c r="I37" s="359">
        <f>SUM(I34:I36)</f>
        <v>32117729924</v>
      </c>
      <c r="J37" s="357"/>
      <c r="K37" s="360">
        <f>SUM(K34:K36)</f>
        <v>0</v>
      </c>
      <c r="L37" s="357"/>
      <c r="M37" s="359"/>
      <c r="N37" s="361">
        <f>SUM(N34:N36)</f>
        <v>70532798000</v>
      </c>
      <c r="O37" s="362">
        <f>SUM(O34:O36)</f>
        <v>70532798000</v>
      </c>
    </row>
    <row r="38" spans="1:16" ht="12.75" thickTop="1" thickBot="1" x14ac:dyDescent="0.25">
      <c r="A38" s="479" t="s">
        <v>763</v>
      </c>
      <c r="B38" s="424"/>
      <c r="C38" s="425"/>
      <c r="D38" s="426"/>
      <c r="E38" s="454"/>
      <c r="F38" s="480">
        <f>F41</f>
        <v>0</v>
      </c>
      <c r="G38" s="426"/>
      <c r="H38" s="456"/>
      <c r="I38" s="480">
        <f>I41</f>
        <v>0</v>
      </c>
      <c r="J38" s="431"/>
      <c r="K38" s="426"/>
      <c r="L38" s="431"/>
      <c r="M38" s="456"/>
      <c r="N38" s="481">
        <f>N41</f>
        <v>0</v>
      </c>
      <c r="O38" s="482">
        <f>O41</f>
        <v>0</v>
      </c>
    </row>
    <row r="39" spans="1:16" ht="12" thickTop="1" x14ac:dyDescent="0.2">
      <c r="A39" s="483"/>
      <c r="B39" s="484"/>
      <c r="C39" s="485"/>
      <c r="D39" s="486"/>
      <c r="E39" s="487"/>
      <c r="F39" s="488">
        <f>E39*D39</f>
        <v>0</v>
      </c>
      <c r="G39" s="486"/>
      <c r="H39" s="489"/>
      <c r="I39" s="488">
        <f>H39*G39</f>
        <v>0</v>
      </c>
      <c r="J39" s="490"/>
      <c r="K39" s="491">
        <f>G39*J39</f>
        <v>0</v>
      </c>
      <c r="L39" s="490"/>
      <c r="M39" s="492">
        <f>H39*L39</f>
        <v>0</v>
      </c>
      <c r="N39" s="493">
        <f>K39*M39</f>
        <v>0</v>
      </c>
      <c r="O39" s="494">
        <f>H39*K39</f>
        <v>0</v>
      </c>
    </row>
    <row r="40" spans="1:16" x14ac:dyDescent="0.2">
      <c r="A40" s="495"/>
      <c r="B40" s="496"/>
      <c r="C40" s="497"/>
      <c r="D40" s="498"/>
      <c r="E40" s="499"/>
      <c r="F40" s="500">
        <f>E40*D40</f>
        <v>0</v>
      </c>
      <c r="G40" s="498"/>
      <c r="H40" s="501"/>
      <c r="I40" s="500">
        <f>H40*G40</f>
        <v>0</v>
      </c>
      <c r="J40" s="502"/>
      <c r="K40" s="503">
        <f>G40*J40</f>
        <v>0</v>
      </c>
      <c r="L40" s="502"/>
      <c r="M40" s="504">
        <f>H40*L40</f>
        <v>0</v>
      </c>
      <c r="N40" s="505">
        <f>K40*M40</f>
        <v>0</v>
      </c>
      <c r="O40" s="506">
        <f>H40*K40</f>
        <v>0</v>
      </c>
    </row>
    <row r="41" spans="1:16" s="113" customFormat="1" ht="12" thickBot="1" x14ac:dyDescent="0.25">
      <c r="A41" s="72" t="s">
        <v>48</v>
      </c>
      <c r="B41" s="309"/>
      <c r="C41" s="73"/>
      <c r="D41" s="104">
        <f>SUM(D39:D40)</f>
        <v>0</v>
      </c>
      <c r="E41" s="310"/>
      <c r="F41" s="310">
        <f>SUM(F39:F40)</f>
        <v>0</v>
      </c>
      <c r="G41" s="104">
        <f>SUM(G39:G40)</f>
        <v>0</v>
      </c>
      <c r="H41" s="310"/>
      <c r="I41" s="310">
        <f>SUM(I39:I40)</f>
        <v>0</v>
      </c>
      <c r="J41" s="73"/>
      <c r="K41" s="110">
        <f>SUM(K39:K40)</f>
        <v>0</v>
      </c>
      <c r="L41" s="73"/>
      <c r="M41" s="310"/>
      <c r="N41" s="311">
        <f>SUM(N39:N40)</f>
        <v>0</v>
      </c>
      <c r="O41" s="367">
        <f>SUM(O39:O40)</f>
        <v>0</v>
      </c>
    </row>
    <row r="42" spans="1:16" ht="12.75" thickTop="1" thickBot="1" x14ac:dyDescent="0.25">
      <c r="A42" s="479" t="s">
        <v>815</v>
      </c>
      <c r="B42" s="424"/>
      <c r="C42" s="425"/>
      <c r="D42" s="426"/>
      <c r="E42" s="454"/>
      <c r="F42" s="480">
        <f>F43+F47</f>
        <v>0</v>
      </c>
      <c r="G42" s="426"/>
      <c r="H42" s="456"/>
      <c r="I42" s="480">
        <f>I43+I47</f>
        <v>0</v>
      </c>
      <c r="J42" s="431"/>
      <c r="K42" s="426"/>
      <c r="L42" s="431"/>
      <c r="M42" s="456"/>
      <c r="N42" s="481">
        <f>N43+N47</f>
        <v>0</v>
      </c>
      <c r="O42" s="482">
        <f>O43*O47</f>
        <v>0</v>
      </c>
    </row>
    <row r="43" spans="1:16" ht="12.75" thickTop="1" thickBot="1" x14ac:dyDescent="0.25">
      <c r="A43" s="507" t="s">
        <v>816</v>
      </c>
      <c r="B43" s="469"/>
      <c r="C43" s="470"/>
      <c r="D43" s="471"/>
      <c r="E43" s="472"/>
      <c r="F43" s="473">
        <f>F46</f>
        <v>0</v>
      </c>
      <c r="G43" s="471"/>
      <c r="H43" s="474"/>
      <c r="I43" s="473">
        <f>I46</f>
        <v>0</v>
      </c>
      <c r="J43" s="475"/>
      <c r="K43" s="471"/>
      <c r="L43" s="475"/>
      <c r="M43" s="474"/>
      <c r="N43" s="476">
        <f>N46</f>
        <v>0</v>
      </c>
      <c r="O43" s="477">
        <f>O46</f>
        <v>0</v>
      </c>
    </row>
    <row r="44" spans="1:16" ht="12" thickTop="1" x14ac:dyDescent="0.2">
      <c r="A44" s="368"/>
      <c r="B44" s="369"/>
      <c r="C44" s="347"/>
      <c r="D44" s="370"/>
      <c r="E44" s="371"/>
      <c r="F44" s="372">
        <f>E44*D44</f>
        <v>0</v>
      </c>
      <c r="G44" s="370"/>
      <c r="H44" s="371"/>
      <c r="I44" s="372">
        <f>H44*G44</f>
        <v>0</v>
      </c>
      <c r="J44" s="347"/>
      <c r="K44" s="373">
        <f>G44*J44</f>
        <v>0</v>
      </c>
      <c r="L44" s="347"/>
      <c r="M44" s="372">
        <f>H44*L44</f>
        <v>0</v>
      </c>
      <c r="N44" s="374">
        <f>K44+M44</f>
        <v>0</v>
      </c>
      <c r="O44" s="375">
        <f>H44*K44</f>
        <v>0</v>
      </c>
    </row>
    <row r="45" spans="1:16" x14ac:dyDescent="0.2">
      <c r="A45" s="508"/>
      <c r="B45" s="509"/>
      <c r="C45" s="354"/>
      <c r="D45" s="510"/>
      <c r="E45" s="511"/>
      <c r="F45" s="512">
        <f>E45*D45</f>
        <v>0</v>
      </c>
      <c r="G45" s="510"/>
      <c r="H45" s="511"/>
      <c r="I45" s="512">
        <f>H45*G45</f>
        <v>0</v>
      </c>
      <c r="J45" s="354"/>
      <c r="K45" s="513">
        <f>G45*J45</f>
        <v>0</v>
      </c>
      <c r="L45" s="354"/>
      <c r="M45" s="512">
        <f>H45*L45</f>
        <v>0</v>
      </c>
      <c r="N45" s="514">
        <f>K45*M45</f>
        <v>0</v>
      </c>
      <c r="O45" s="515">
        <f>H45*K45</f>
        <v>0</v>
      </c>
    </row>
    <row r="46" spans="1:16" s="113" customFormat="1" ht="12" thickBot="1" x14ac:dyDescent="0.25">
      <c r="A46" s="78" t="s">
        <v>48</v>
      </c>
      <c r="B46" s="309"/>
      <c r="C46" s="73"/>
      <c r="D46" s="105">
        <f>SUM(D44:D45)</f>
        <v>0</v>
      </c>
      <c r="E46" s="376"/>
      <c r="F46" s="377">
        <f>SUM(F44:F45)</f>
        <v>0</v>
      </c>
      <c r="G46" s="105">
        <f>SUM(G44:G45)</f>
        <v>0</v>
      </c>
      <c r="H46" s="310"/>
      <c r="I46" s="310">
        <f>SUM(I44:I45)</f>
        <v>0</v>
      </c>
      <c r="J46" s="77"/>
      <c r="K46" s="111">
        <f>SUM(K44:K45)</f>
        <v>0</v>
      </c>
      <c r="L46" s="78"/>
      <c r="M46" s="376"/>
      <c r="N46" s="378">
        <f>SUM(N44:N45)</f>
        <v>0</v>
      </c>
      <c r="O46" s="379">
        <f>SUM(O44:O45)</f>
        <v>0</v>
      </c>
    </row>
    <row r="47" spans="1:16" ht="12" thickTop="1" x14ac:dyDescent="0.2">
      <c r="A47" s="516" t="s">
        <v>817</v>
      </c>
      <c r="B47" s="443"/>
      <c r="C47" s="444"/>
      <c r="D47" s="445"/>
      <c r="E47" s="446"/>
      <c r="F47" s="447">
        <f>E47*D47</f>
        <v>0</v>
      </c>
      <c r="G47" s="445"/>
      <c r="H47" s="448"/>
      <c r="I47" s="447">
        <f>H47*G47</f>
        <v>0</v>
      </c>
      <c r="J47" s="449"/>
      <c r="K47" s="450">
        <f>G47*J47</f>
        <v>0</v>
      </c>
      <c r="L47" s="449"/>
      <c r="M47" s="451">
        <f>H47*L47</f>
        <v>0</v>
      </c>
      <c r="N47" s="452">
        <f>M47*K47</f>
        <v>0</v>
      </c>
      <c r="O47" s="453">
        <f>H47*K47</f>
        <v>0</v>
      </c>
    </row>
    <row r="48" spans="1:16" s="113" customFormat="1" x14ac:dyDescent="0.2">
      <c r="A48" s="517" t="s">
        <v>49</v>
      </c>
      <c r="B48" s="517"/>
      <c r="C48" s="496"/>
      <c r="D48" s="518">
        <f>D47</f>
        <v>0</v>
      </c>
      <c r="E48" s="504"/>
      <c r="F48" s="504">
        <f>F47</f>
        <v>0</v>
      </c>
      <c r="G48" s="518">
        <f>G47</f>
        <v>0</v>
      </c>
      <c r="H48" s="504"/>
      <c r="I48" s="504">
        <f>I47</f>
        <v>0</v>
      </c>
      <c r="J48" s="496"/>
      <c r="K48" s="519">
        <f>K47</f>
        <v>0</v>
      </c>
      <c r="L48" s="496"/>
      <c r="M48" s="504"/>
      <c r="N48" s="520">
        <f>N47</f>
        <v>0</v>
      </c>
      <c r="O48" s="521">
        <f>O47</f>
        <v>0</v>
      </c>
    </row>
    <row r="49" spans="1:15" ht="12.75" hidden="1" thickTop="1" thickBot="1" x14ac:dyDescent="0.25">
      <c r="A49" s="115" t="s">
        <v>819</v>
      </c>
      <c r="B49" s="235"/>
      <c r="C49" s="123"/>
      <c r="D49" s="124"/>
      <c r="E49" s="125"/>
      <c r="F49" s="84">
        <f>F51</f>
        <v>0</v>
      </c>
      <c r="G49" s="124"/>
      <c r="H49" s="126"/>
      <c r="I49" s="84">
        <f>I51</f>
        <v>0</v>
      </c>
      <c r="J49" s="127"/>
      <c r="K49" s="124"/>
      <c r="L49" s="127"/>
      <c r="M49" s="126"/>
      <c r="N49" s="84">
        <f>N51</f>
        <v>0</v>
      </c>
      <c r="O49" s="93">
        <f>O51</f>
        <v>0</v>
      </c>
    </row>
    <row r="50" spans="1:15" ht="12" hidden="1" thickTop="1" x14ac:dyDescent="0.2">
      <c r="A50" s="116" t="s">
        <v>1173</v>
      </c>
      <c r="B50" s="237"/>
      <c r="C50" s="133"/>
      <c r="D50" s="134"/>
      <c r="E50" s="135"/>
      <c r="F50" s="88">
        <f>E50*D50</f>
        <v>0</v>
      </c>
      <c r="G50" s="134"/>
      <c r="H50" s="136"/>
      <c r="I50" s="88">
        <f>H50*G50</f>
        <v>0</v>
      </c>
      <c r="J50" s="137"/>
      <c r="K50" s="106">
        <f>G50*J50</f>
        <v>0</v>
      </c>
      <c r="L50" s="137"/>
      <c r="M50" s="90">
        <f>H50*L50</f>
        <v>0</v>
      </c>
      <c r="N50" s="88">
        <f>K50*M50</f>
        <v>0</v>
      </c>
      <c r="O50" s="95">
        <f>H50*K50</f>
        <v>0</v>
      </c>
    </row>
    <row r="51" spans="1:15" s="113" customFormat="1" ht="12" hidden="1" thickBot="1" x14ac:dyDescent="0.25">
      <c r="A51" s="78" t="s">
        <v>48</v>
      </c>
      <c r="B51" s="236"/>
      <c r="C51" s="73"/>
      <c r="D51" s="105">
        <f>D50</f>
        <v>0</v>
      </c>
      <c r="E51" s="86"/>
      <c r="F51" s="87">
        <f>F50</f>
        <v>0</v>
      </c>
      <c r="G51" s="105">
        <f>G50</f>
        <v>0</v>
      </c>
      <c r="H51" s="83"/>
      <c r="I51" s="83">
        <f>I50</f>
        <v>0</v>
      </c>
      <c r="J51" s="77"/>
      <c r="K51" s="111">
        <f>K50</f>
        <v>0</v>
      </c>
      <c r="L51" s="78"/>
      <c r="M51" s="86"/>
      <c r="N51" s="86">
        <f>N50</f>
        <v>0</v>
      </c>
      <c r="O51" s="94">
        <f>O50</f>
        <v>0</v>
      </c>
    </row>
    <row r="52" spans="1:15" ht="12.75" hidden="1" thickTop="1" thickBot="1" x14ac:dyDescent="0.25">
      <c r="A52" s="115" t="s">
        <v>824</v>
      </c>
      <c r="B52" s="76"/>
      <c r="C52" s="123"/>
      <c r="D52" s="124"/>
      <c r="E52" s="125"/>
      <c r="F52" s="84">
        <f>F53+F78</f>
        <v>0</v>
      </c>
      <c r="G52" s="124"/>
      <c r="H52" s="126"/>
      <c r="I52" s="84">
        <f>I53+I78</f>
        <v>0</v>
      </c>
      <c r="J52" s="127"/>
      <c r="K52" s="124"/>
      <c r="L52" s="127"/>
      <c r="M52" s="126"/>
      <c r="N52" s="84">
        <f>N53+N78</f>
        <v>0</v>
      </c>
      <c r="O52" s="93">
        <f>O53+O78</f>
        <v>0</v>
      </c>
    </row>
    <row r="53" spans="1:15" ht="12.75" hidden="1" thickTop="1" thickBot="1" x14ac:dyDescent="0.25">
      <c r="A53" s="116" t="s">
        <v>825</v>
      </c>
      <c r="B53" s="380"/>
      <c r="C53" s="118"/>
      <c r="D53" s="119"/>
      <c r="E53" s="120"/>
      <c r="F53" s="82">
        <f>F61+F69+F77</f>
        <v>0</v>
      </c>
      <c r="G53" s="119"/>
      <c r="H53" s="121"/>
      <c r="I53" s="82">
        <f>I61+I69+I77</f>
        <v>0</v>
      </c>
      <c r="J53" s="122"/>
      <c r="K53" s="119"/>
      <c r="L53" s="122"/>
      <c r="M53" s="121"/>
      <c r="N53" s="82">
        <f>N61+N69+N77</f>
        <v>0</v>
      </c>
      <c r="O53" s="92">
        <f>O61+O69+O77</f>
        <v>0</v>
      </c>
    </row>
    <row r="54" spans="1:15" ht="12" hidden="1" thickTop="1" x14ac:dyDescent="0.2">
      <c r="A54" s="347"/>
      <c r="B54" s="381"/>
      <c r="C54" s="324"/>
      <c r="D54" s="325"/>
      <c r="E54" s="382"/>
      <c r="F54" s="383">
        <f t="shared" ref="F54:F60" si="0">E54*D54</f>
        <v>0</v>
      </c>
      <c r="G54" s="325"/>
      <c r="H54" s="382"/>
      <c r="I54" s="383">
        <f t="shared" ref="I54:I60" si="1">H54*G54</f>
        <v>0</v>
      </c>
      <c r="J54" s="324"/>
      <c r="K54" s="328">
        <f t="shared" ref="K54:K60" si="2">G54*J54</f>
        <v>0</v>
      </c>
      <c r="L54" s="324"/>
      <c r="M54" s="383">
        <f t="shared" ref="M54:M60" si="3">H54*L54</f>
        <v>0</v>
      </c>
      <c r="N54" s="383">
        <f t="shared" ref="N54:N60" si="4">K54*M54</f>
        <v>0</v>
      </c>
      <c r="O54" s="384">
        <f t="shared" ref="O54:O60" si="5">H54*K54</f>
        <v>0</v>
      </c>
    </row>
    <row r="55" spans="1:15" hidden="1" x14ac:dyDescent="0.2">
      <c r="A55" s="351"/>
      <c r="B55" s="381"/>
      <c r="C55" s="324"/>
      <c r="D55" s="325"/>
      <c r="E55" s="382"/>
      <c r="F55" s="383">
        <f t="shared" si="0"/>
        <v>0</v>
      </c>
      <c r="G55" s="325"/>
      <c r="H55" s="382"/>
      <c r="I55" s="383">
        <f t="shared" si="1"/>
        <v>0</v>
      </c>
      <c r="J55" s="324"/>
      <c r="K55" s="328">
        <f t="shared" si="2"/>
        <v>0</v>
      </c>
      <c r="L55" s="324"/>
      <c r="M55" s="383">
        <f t="shared" si="3"/>
        <v>0</v>
      </c>
      <c r="N55" s="383">
        <f t="shared" si="4"/>
        <v>0</v>
      </c>
      <c r="O55" s="384">
        <f t="shared" si="5"/>
        <v>0</v>
      </c>
    </row>
    <row r="56" spans="1:15" hidden="1" x14ac:dyDescent="0.2">
      <c r="A56" s="351"/>
      <c r="B56" s="381"/>
      <c r="C56" s="324"/>
      <c r="D56" s="325"/>
      <c r="E56" s="382"/>
      <c r="F56" s="383">
        <f t="shared" si="0"/>
        <v>0</v>
      </c>
      <c r="G56" s="325"/>
      <c r="H56" s="382"/>
      <c r="I56" s="383">
        <f t="shared" si="1"/>
        <v>0</v>
      </c>
      <c r="J56" s="324"/>
      <c r="K56" s="328">
        <f t="shared" si="2"/>
        <v>0</v>
      </c>
      <c r="L56" s="324"/>
      <c r="M56" s="383">
        <f t="shared" si="3"/>
        <v>0</v>
      </c>
      <c r="N56" s="383">
        <f t="shared" si="4"/>
        <v>0</v>
      </c>
      <c r="O56" s="384">
        <f t="shared" si="5"/>
        <v>0</v>
      </c>
    </row>
    <row r="57" spans="1:15" hidden="1" x14ac:dyDescent="0.2">
      <c r="A57" s="351"/>
      <c r="B57" s="381"/>
      <c r="C57" s="324"/>
      <c r="D57" s="325"/>
      <c r="E57" s="382"/>
      <c r="F57" s="383">
        <f t="shared" si="0"/>
        <v>0</v>
      </c>
      <c r="G57" s="325"/>
      <c r="H57" s="382"/>
      <c r="I57" s="383">
        <f t="shared" si="1"/>
        <v>0</v>
      </c>
      <c r="J57" s="324"/>
      <c r="K57" s="328">
        <f t="shared" si="2"/>
        <v>0</v>
      </c>
      <c r="L57" s="324"/>
      <c r="M57" s="383">
        <f t="shared" si="3"/>
        <v>0</v>
      </c>
      <c r="N57" s="383">
        <f t="shared" si="4"/>
        <v>0</v>
      </c>
      <c r="O57" s="384">
        <f t="shared" si="5"/>
        <v>0</v>
      </c>
    </row>
    <row r="58" spans="1:15" hidden="1" x14ac:dyDescent="0.2">
      <c r="A58" s="351"/>
      <c r="B58" s="381"/>
      <c r="C58" s="324"/>
      <c r="D58" s="325"/>
      <c r="E58" s="382"/>
      <c r="F58" s="383">
        <f t="shared" si="0"/>
        <v>0</v>
      </c>
      <c r="G58" s="325"/>
      <c r="H58" s="382"/>
      <c r="I58" s="383">
        <f t="shared" si="1"/>
        <v>0</v>
      </c>
      <c r="J58" s="324"/>
      <c r="K58" s="328">
        <f t="shared" si="2"/>
        <v>0</v>
      </c>
      <c r="L58" s="324"/>
      <c r="M58" s="383">
        <f t="shared" si="3"/>
        <v>0</v>
      </c>
      <c r="N58" s="383">
        <f t="shared" si="4"/>
        <v>0</v>
      </c>
      <c r="O58" s="384">
        <f t="shared" si="5"/>
        <v>0</v>
      </c>
    </row>
    <row r="59" spans="1:15" hidden="1" x14ac:dyDescent="0.2">
      <c r="A59" s="351"/>
      <c r="B59" s="381"/>
      <c r="C59" s="324"/>
      <c r="D59" s="325"/>
      <c r="E59" s="382"/>
      <c r="F59" s="383">
        <f t="shared" si="0"/>
        <v>0</v>
      </c>
      <c r="G59" s="325"/>
      <c r="H59" s="382"/>
      <c r="I59" s="383">
        <f t="shared" si="1"/>
        <v>0</v>
      </c>
      <c r="J59" s="324"/>
      <c r="K59" s="328">
        <f t="shared" si="2"/>
        <v>0</v>
      </c>
      <c r="L59" s="324"/>
      <c r="M59" s="383">
        <f t="shared" si="3"/>
        <v>0</v>
      </c>
      <c r="N59" s="383">
        <f t="shared" si="4"/>
        <v>0</v>
      </c>
      <c r="O59" s="384">
        <f t="shared" si="5"/>
        <v>0</v>
      </c>
    </row>
    <row r="60" spans="1:15" hidden="1" x14ac:dyDescent="0.2">
      <c r="A60" s="354"/>
      <c r="B60" s="381"/>
      <c r="C60" s="324"/>
      <c r="D60" s="325"/>
      <c r="E60" s="382"/>
      <c r="F60" s="383">
        <f t="shared" si="0"/>
        <v>0</v>
      </c>
      <c r="G60" s="325"/>
      <c r="H60" s="382"/>
      <c r="I60" s="383">
        <f t="shared" si="1"/>
        <v>0</v>
      </c>
      <c r="J60" s="324"/>
      <c r="K60" s="328">
        <f t="shared" si="2"/>
        <v>0</v>
      </c>
      <c r="L60" s="324"/>
      <c r="M60" s="383">
        <f t="shared" si="3"/>
        <v>0</v>
      </c>
      <c r="N60" s="383">
        <f t="shared" si="4"/>
        <v>0</v>
      </c>
      <c r="O60" s="384">
        <f t="shared" si="5"/>
        <v>0</v>
      </c>
    </row>
    <row r="61" spans="1:15" s="113" customFormat="1" hidden="1" x14ac:dyDescent="0.2">
      <c r="A61" s="385" t="s">
        <v>48</v>
      </c>
      <c r="B61" s="385"/>
      <c r="C61" s="29"/>
      <c r="D61" s="101">
        <f>SUM(D54:D60)</f>
        <v>0</v>
      </c>
      <c r="E61" s="81"/>
      <c r="F61" s="81">
        <f>SUM(F54:F60)</f>
        <v>0</v>
      </c>
      <c r="G61" s="101">
        <f>SUM(G54:G60)</f>
        <v>0</v>
      </c>
      <c r="H61" s="81"/>
      <c r="I61" s="81">
        <f>SUM(I54:I60)</f>
        <v>0</v>
      </c>
      <c r="J61" s="29"/>
      <c r="K61" s="107">
        <f>SUM(K54:K60)</f>
        <v>0</v>
      </c>
      <c r="L61" s="29"/>
      <c r="M61" s="81"/>
      <c r="N61" s="386">
        <f>SUM(N54:N60)</f>
        <v>0</v>
      </c>
      <c r="O61" s="387">
        <f>SUM(O54:O60)</f>
        <v>0</v>
      </c>
    </row>
    <row r="62" spans="1:15" hidden="1" x14ac:dyDescent="0.2">
      <c r="A62" s="351"/>
      <c r="B62" s="381"/>
      <c r="C62" s="324"/>
      <c r="D62" s="325"/>
      <c r="E62" s="382"/>
      <c r="F62" s="383">
        <f t="shared" ref="F62:F68" si="6">E62*D62</f>
        <v>0</v>
      </c>
      <c r="G62" s="325"/>
      <c r="H62" s="382"/>
      <c r="I62" s="383">
        <f t="shared" ref="I62:I68" si="7">H62*G62</f>
        <v>0</v>
      </c>
      <c r="J62" s="324"/>
      <c r="K62" s="328">
        <f t="shared" ref="K62:K68" si="8">G62*J62</f>
        <v>0</v>
      </c>
      <c r="L62" s="324"/>
      <c r="M62" s="383">
        <f t="shared" ref="M62:M68" si="9">H62*L62</f>
        <v>0</v>
      </c>
      <c r="N62" s="383">
        <f t="shared" ref="N62:N68" si="10">K62*M62</f>
        <v>0</v>
      </c>
      <c r="O62" s="384">
        <f t="shared" ref="O62:O68" si="11">H62*K62</f>
        <v>0</v>
      </c>
    </row>
    <row r="63" spans="1:15" hidden="1" x14ac:dyDescent="0.2">
      <c r="A63" s="351"/>
      <c r="B63" s="381"/>
      <c r="C63" s="324"/>
      <c r="D63" s="325"/>
      <c r="E63" s="382"/>
      <c r="F63" s="383">
        <f t="shared" si="6"/>
        <v>0</v>
      </c>
      <c r="G63" s="325"/>
      <c r="H63" s="382"/>
      <c r="I63" s="383">
        <f t="shared" si="7"/>
        <v>0</v>
      </c>
      <c r="J63" s="324"/>
      <c r="K63" s="328">
        <f t="shared" si="8"/>
        <v>0</v>
      </c>
      <c r="L63" s="324"/>
      <c r="M63" s="383">
        <f t="shared" si="9"/>
        <v>0</v>
      </c>
      <c r="N63" s="383">
        <f t="shared" si="10"/>
        <v>0</v>
      </c>
      <c r="O63" s="384">
        <f t="shared" si="11"/>
        <v>0</v>
      </c>
    </row>
    <row r="64" spans="1:15" hidden="1" x14ac:dyDescent="0.2">
      <c r="A64" s="351"/>
      <c r="B64" s="381"/>
      <c r="C64" s="324"/>
      <c r="D64" s="325"/>
      <c r="E64" s="382"/>
      <c r="F64" s="383">
        <f t="shared" si="6"/>
        <v>0</v>
      </c>
      <c r="G64" s="325"/>
      <c r="H64" s="382"/>
      <c r="I64" s="383">
        <f t="shared" si="7"/>
        <v>0</v>
      </c>
      <c r="J64" s="324"/>
      <c r="K64" s="328">
        <f t="shared" si="8"/>
        <v>0</v>
      </c>
      <c r="L64" s="324"/>
      <c r="M64" s="383">
        <f t="shared" si="9"/>
        <v>0</v>
      </c>
      <c r="N64" s="383">
        <f t="shared" si="10"/>
        <v>0</v>
      </c>
      <c r="O64" s="384">
        <f t="shared" si="11"/>
        <v>0</v>
      </c>
    </row>
    <row r="65" spans="1:15" hidden="1" x14ac:dyDescent="0.2">
      <c r="A65" s="351"/>
      <c r="B65" s="381"/>
      <c r="C65" s="324"/>
      <c r="D65" s="325"/>
      <c r="E65" s="382"/>
      <c r="F65" s="383">
        <f t="shared" si="6"/>
        <v>0</v>
      </c>
      <c r="G65" s="325"/>
      <c r="H65" s="382"/>
      <c r="I65" s="383">
        <f t="shared" si="7"/>
        <v>0</v>
      </c>
      <c r="J65" s="324"/>
      <c r="K65" s="328">
        <f t="shared" si="8"/>
        <v>0</v>
      </c>
      <c r="L65" s="324"/>
      <c r="M65" s="383">
        <f t="shared" si="9"/>
        <v>0</v>
      </c>
      <c r="N65" s="383">
        <f t="shared" si="10"/>
        <v>0</v>
      </c>
      <c r="O65" s="384">
        <f t="shared" si="11"/>
        <v>0</v>
      </c>
    </row>
    <row r="66" spans="1:15" hidden="1" x14ac:dyDescent="0.2">
      <c r="A66" s="351"/>
      <c r="B66" s="381"/>
      <c r="C66" s="324"/>
      <c r="D66" s="325"/>
      <c r="E66" s="382"/>
      <c r="F66" s="383">
        <f t="shared" si="6"/>
        <v>0</v>
      </c>
      <c r="G66" s="325"/>
      <c r="H66" s="382"/>
      <c r="I66" s="383">
        <f t="shared" si="7"/>
        <v>0</v>
      </c>
      <c r="J66" s="324"/>
      <c r="K66" s="328">
        <f t="shared" si="8"/>
        <v>0</v>
      </c>
      <c r="L66" s="324"/>
      <c r="M66" s="383">
        <f t="shared" si="9"/>
        <v>0</v>
      </c>
      <c r="N66" s="383">
        <f t="shared" si="10"/>
        <v>0</v>
      </c>
      <c r="O66" s="384">
        <f t="shared" si="11"/>
        <v>0</v>
      </c>
    </row>
    <row r="67" spans="1:15" hidden="1" x14ac:dyDescent="0.2">
      <c r="A67" s="351"/>
      <c r="B67" s="381"/>
      <c r="C67" s="324"/>
      <c r="D67" s="325"/>
      <c r="E67" s="382"/>
      <c r="F67" s="383">
        <f t="shared" si="6"/>
        <v>0</v>
      </c>
      <c r="G67" s="325"/>
      <c r="H67" s="382"/>
      <c r="I67" s="383">
        <f t="shared" si="7"/>
        <v>0</v>
      </c>
      <c r="J67" s="324"/>
      <c r="K67" s="328">
        <f t="shared" si="8"/>
        <v>0</v>
      </c>
      <c r="L67" s="324"/>
      <c r="M67" s="383">
        <f t="shared" si="9"/>
        <v>0</v>
      </c>
      <c r="N67" s="383">
        <f t="shared" si="10"/>
        <v>0</v>
      </c>
      <c r="O67" s="384">
        <f t="shared" si="11"/>
        <v>0</v>
      </c>
    </row>
    <row r="68" spans="1:15" hidden="1" x14ac:dyDescent="0.2">
      <c r="A68" s="354"/>
      <c r="B68" s="381"/>
      <c r="C68" s="324"/>
      <c r="D68" s="325"/>
      <c r="E68" s="382"/>
      <c r="F68" s="383">
        <f t="shared" si="6"/>
        <v>0</v>
      </c>
      <c r="G68" s="325"/>
      <c r="H68" s="382"/>
      <c r="I68" s="383">
        <f t="shared" si="7"/>
        <v>0</v>
      </c>
      <c r="J68" s="324"/>
      <c r="K68" s="328">
        <f t="shared" si="8"/>
        <v>0</v>
      </c>
      <c r="L68" s="324"/>
      <c r="M68" s="383">
        <f t="shared" si="9"/>
        <v>0</v>
      </c>
      <c r="N68" s="383">
        <f t="shared" si="10"/>
        <v>0</v>
      </c>
      <c r="O68" s="384">
        <f t="shared" si="11"/>
        <v>0</v>
      </c>
    </row>
    <row r="69" spans="1:15" s="113" customFormat="1" hidden="1" x14ac:dyDescent="0.2">
      <c r="A69" s="385" t="s">
        <v>49</v>
      </c>
      <c r="B69" s="29"/>
      <c r="C69" s="29"/>
      <c r="D69" s="101">
        <f>SUM(D62:D68)</f>
        <v>0</v>
      </c>
      <c r="E69" s="81"/>
      <c r="F69" s="81">
        <f>SUM(F62:F68)</f>
        <v>0</v>
      </c>
      <c r="G69" s="101">
        <f>SUM(G62:G68)</f>
        <v>0</v>
      </c>
      <c r="H69" s="81"/>
      <c r="I69" s="81">
        <f>SUM(I62:I68)</f>
        <v>0</v>
      </c>
      <c r="J69" s="29"/>
      <c r="K69" s="107">
        <f>SUM(K62:K68)</f>
        <v>0</v>
      </c>
      <c r="L69" s="29"/>
      <c r="M69" s="81"/>
      <c r="N69" s="386">
        <f>SUM(N62:N68)</f>
        <v>0</v>
      </c>
      <c r="O69" s="387">
        <f>SUM(O62:O68)</f>
        <v>0</v>
      </c>
    </row>
    <row r="70" spans="1:15" hidden="1" x14ac:dyDescent="0.2">
      <c r="A70" s="351"/>
      <c r="B70" s="381"/>
      <c r="C70" s="324"/>
      <c r="D70" s="325"/>
      <c r="E70" s="382"/>
      <c r="F70" s="383">
        <f t="shared" ref="F70:F76" si="12">E70*D70</f>
        <v>0</v>
      </c>
      <c r="G70" s="325"/>
      <c r="H70" s="382"/>
      <c r="I70" s="383">
        <f t="shared" ref="I70:I76" si="13">H70*G70</f>
        <v>0</v>
      </c>
      <c r="J70" s="324"/>
      <c r="K70" s="328">
        <f t="shared" ref="K70:K76" si="14">G70*J70</f>
        <v>0</v>
      </c>
      <c r="L70" s="324"/>
      <c r="M70" s="383">
        <f t="shared" ref="M70:M76" si="15">H70*L70</f>
        <v>0</v>
      </c>
      <c r="N70" s="383">
        <f t="shared" ref="N70:N76" si="16">K70*M70</f>
        <v>0</v>
      </c>
      <c r="O70" s="384">
        <f t="shared" ref="O70:O76" si="17">H70*K70</f>
        <v>0</v>
      </c>
    </row>
    <row r="71" spans="1:15" hidden="1" x14ac:dyDescent="0.2">
      <c r="A71" s="351"/>
      <c r="B71" s="381"/>
      <c r="C71" s="324"/>
      <c r="D71" s="325"/>
      <c r="E71" s="382"/>
      <c r="F71" s="383">
        <f t="shared" si="12"/>
        <v>0</v>
      </c>
      <c r="G71" s="325"/>
      <c r="H71" s="382"/>
      <c r="I71" s="383">
        <f t="shared" si="13"/>
        <v>0</v>
      </c>
      <c r="J71" s="324"/>
      <c r="K71" s="328">
        <f t="shared" si="14"/>
        <v>0</v>
      </c>
      <c r="L71" s="324"/>
      <c r="M71" s="383">
        <f t="shared" si="15"/>
        <v>0</v>
      </c>
      <c r="N71" s="383">
        <f t="shared" si="16"/>
        <v>0</v>
      </c>
      <c r="O71" s="384">
        <f t="shared" si="17"/>
        <v>0</v>
      </c>
    </row>
    <row r="72" spans="1:15" hidden="1" x14ac:dyDescent="0.2">
      <c r="A72" s="351"/>
      <c r="B72" s="381"/>
      <c r="C72" s="324"/>
      <c r="D72" s="325"/>
      <c r="E72" s="382"/>
      <c r="F72" s="383">
        <f t="shared" si="12"/>
        <v>0</v>
      </c>
      <c r="G72" s="325"/>
      <c r="H72" s="382"/>
      <c r="I72" s="383">
        <f t="shared" si="13"/>
        <v>0</v>
      </c>
      <c r="J72" s="324"/>
      <c r="K72" s="328">
        <f t="shared" si="14"/>
        <v>0</v>
      </c>
      <c r="L72" s="324"/>
      <c r="M72" s="383">
        <f t="shared" si="15"/>
        <v>0</v>
      </c>
      <c r="N72" s="383">
        <f t="shared" si="16"/>
        <v>0</v>
      </c>
      <c r="O72" s="384">
        <f t="shared" si="17"/>
        <v>0</v>
      </c>
    </row>
    <row r="73" spans="1:15" hidden="1" x14ac:dyDescent="0.2">
      <c r="A73" s="351"/>
      <c r="B73" s="381"/>
      <c r="C73" s="324"/>
      <c r="D73" s="325"/>
      <c r="E73" s="382"/>
      <c r="F73" s="383">
        <f t="shared" si="12"/>
        <v>0</v>
      </c>
      <c r="G73" s="325"/>
      <c r="H73" s="382"/>
      <c r="I73" s="383">
        <f t="shared" si="13"/>
        <v>0</v>
      </c>
      <c r="J73" s="324"/>
      <c r="K73" s="328">
        <f t="shared" si="14"/>
        <v>0</v>
      </c>
      <c r="L73" s="324"/>
      <c r="M73" s="383">
        <f t="shared" si="15"/>
        <v>0</v>
      </c>
      <c r="N73" s="383">
        <f t="shared" si="16"/>
        <v>0</v>
      </c>
      <c r="O73" s="384">
        <f t="shared" si="17"/>
        <v>0</v>
      </c>
    </row>
    <row r="74" spans="1:15" hidden="1" x14ac:dyDescent="0.2">
      <c r="A74" s="351"/>
      <c r="B74" s="381"/>
      <c r="C74" s="324"/>
      <c r="D74" s="325"/>
      <c r="E74" s="382"/>
      <c r="F74" s="383">
        <f t="shared" si="12"/>
        <v>0</v>
      </c>
      <c r="G74" s="325"/>
      <c r="H74" s="382"/>
      <c r="I74" s="383">
        <f t="shared" si="13"/>
        <v>0</v>
      </c>
      <c r="J74" s="324"/>
      <c r="K74" s="328">
        <f t="shared" si="14"/>
        <v>0</v>
      </c>
      <c r="L74" s="324"/>
      <c r="M74" s="383">
        <f t="shared" si="15"/>
        <v>0</v>
      </c>
      <c r="N74" s="383">
        <f t="shared" si="16"/>
        <v>0</v>
      </c>
      <c r="O74" s="384">
        <f t="shared" si="17"/>
        <v>0</v>
      </c>
    </row>
    <row r="75" spans="1:15" hidden="1" x14ac:dyDescent="0.2">
      <c r="A75" s="351"/>
      <c r="B75" s="381"/>
      <c r="C75" s="324"/>
      <c r="D75" s="325"/>
      <c r="E75" s="382"/>
      <c r="F75" s="383">
        <f t="shared" si="12"/>
        <v>0</v>
      </c>
      <c r="G75" s="325"/>
      <c r="H75" s="382"/>
      <c r="I75" s="383">
        <f t="shared" si="13"/>
        <v>0</v>
      </c>
      <c r="J75" s="324"/>
      <c r="K75" s="328">
        <f t="shared" si="14"/>
        <v>0</v>
      </c>
      <c r="L75" s="324"/>
      <c r="M75" s="383">
        <f t="shared" si="15"/>
        <v>0</v>
      </c>
      <c r="N75" s="383">
        <f t="shared" si="16"/>
        <v>0</v>
      </c>
      <c r="O75" s="384">
        <f t="shared" si="17"/>
        <v>0</v>
      </c>
    </row>
    <row r="76" spans="1:15" hidden="1" x14ac:dyDescent="0.2">
      <c r="A76" s="354"/>
      <c r="B76" s="381"/>
      <c r="C76" s="324"/>
      <c r="D76" s="325"/>
      <c r="E76" s="382"/>
      <c r="F76" s="383">
        <f t="shared" si="12"/>
        <v>0</v>
      </c>
      <c r="G76" s="325"/>
      <c r="H76" s="382"/>
      <c r="I76" s="383">
        <f t="shared" si="13"/>
        <v>0</v>
      </c>
      <c r="J76" s="324"/>
      <c r="K76" s="328">
        <f t="shared" si="14"/>
        <v>0</v>
      </c>
      <c r="L76" s="324"/>
      <c r="M76" s="383">
        <f t="shared" si="15"/>
        <v>0</v>
      </c>
      <c r="N76" s="383">
        <f t="shared" si="16"/>
        <v>0</v>
      </c>
      <c r="O76" s="384">
        <f t="shared" si="17"/>
        <v>0</v>
      </c>
    </row>
    <row r="77" spans="1:15" s="113" customFormat="1" hidden="1" x14ac:dyDescent="0.2">
      <c r="A77" s="355" t="s">
        <v>50</v>
      </c>
      <c r="B77" s="355"/>
      <c r="C77" s="357"/>
      <c r="D77" s="358">
        <f>SUM(D70:D76)</f>
        <v>0</v>
      </c>
      <c r="E77" s="388"/>
      <c r="F77" s="388">
        <f>SUM(F70:F76)</f>
        <v>0</v>
      </c>
      <c r="G77" s="358">
        <f>SUM(G70:G76)</f>
        <v>0</v>
      </c>
      <c r="H77" s="388"/>
      <c r="I77" s="388">
        <f>SUM(I70:I76)</f>
        <v>0</v>
      </c>
      <c r="J77" s="357"/>
      <c r="K77" s="360">
        <f>SUM(K70:K76)</f>
        <v>0</v>
      </c>
      <c r="L77" s="357"/>
      <c r="M77" s="388"/>
      <c r="N77" s="389">
        <f>SUM(N70:N76)</f>
        <v>0</v>
      </c>
      <c r="O77" s="390">
        <f>SUM(O70:O76)</f>
        <v>0</v>
      </c>
    </row>
    <row r="78" spans="1:15" ht="12.75" hidden="1" thickTop="1" thickBot="1" x14ac:dyDescent="0.25">
      <c r="A78" s="116" t="s">
        <v>826</v>
      </c>
      <c r="B78" s="391"/>
      <c r="C78" s="118"/>
      <c r="D78" s="119"/>
      <c r="E78" s="120"/>
      <c r="F78" s="82">
        <f>F86+F94+F102</f>
        <v>0</v>
      </c>
      <c r="G78" s="119"/>
      <c r="H78" s="121"/>
      <c r="I78" s="82">
        <f>I86+I94+I102</f>
        <v>0</v>
      </c>
      <c r="J78" s="122"/>
      <c r="K78" s="119"/>
      <c r="L78" s="122"/>
      <c r="M78" s="121"/>
      <c r="N78" s="82">
        <f>N86+N94+N102</f>
        <v>0</v>
      </c>
      <c r="O78" s="92">
        <f>O86+O94+O102</f>
        <v>0</v>
      </c>
    </row>
    <row r="79" spans="1:15" ht="12" hidden="1" thickTop="1" x14ac:dyDescent="0.2">
      <c r="A79" s="347"/>
      <c r="B79" s="381"/>
      <c r="C79" s="324"/>
      <c r="D79" s="325"/>
      <c r="E79" s="382"/>
      <c r="F79" s="383">
        <f t="shared" ref="F79:F85" si="18">E79*D79</f>
        <v>0</v>
      </c>
      <c r="G79" s="325"/>
      <c r="H79" s="382"/>
      <c r="I79" s="383">
        <f t="shared" ref="I79:I85" si="19">H79*G79</f>
        <v>0</v>
      </c>
      <c r="J79" s="324"/>
      <c r="K79" s="328">
        <f t="shared" ref="K79:K85" si="20">G79*J79</f>
        <v>0</v>
      </c>
      <c r="L79" s="324"/>
      <c r="M79" s="383">
        <f t="shared" ref="M79:M85" si="21">H79*L79</f>
        <v>0</v>
      </c>
      <c r="N79" s="383">
        <f t="shared" ref="N79:N85" si="22">K79*M79</f>
        <v>0</v>
      </c>
      <c r="O79" s="384">
        <f t="shared" ref="O79:O85" si="23">H79*K79</f>
        <v>0</v>
      </c>
    </row>
    <row r="80" spans="1:15" hidden="1" x14ac:dyDescent="0.2">
      <c r="A80" s="351"/>
      <c r="B80" s="381"/>
      <c r="C80" s="324"/>
      <c r="D80" s="325"/>
      <c r="E80" s="382"/>
      <c r="F80" s="383">
        <f t="shared" si="18"/>
        <v>0</v>
      </c>
      <c r="G80" s="325"/>
      <c r="H80" s="382"/>
      <c r="I80" s="383">
        <f t="shared" si="19"/>
        <v>0</v>
      </c>
      <c r="J80" s="324"/>
      <c r="K80" s="328">
        <f t="shared" si="20"/>
        <v>0</v>
      </c>
      <c r="L80" s="324"/>
      <c r="M80" s="383">
        <f t="shared" si="21"/>
        <v>0</v>
      </c>
      <c r="N80" s="383">
        <f t="shared" si="22"/>
        <v>0</v>
      </c>
      <c r="O80" s="384">
        <f t="shared" si="23"/>
        <v>0</v>
      </c>
    </row>
    <row r="81" spans="1:15" hidden="1" x14ac:dyDescent="0.2">
      <c r="A81" s="351"/>
      <c r="B81" s="381"/>
      <c r="C81" s="324"/>
      <c r="D81" s="325"/>
      <c r="E81" s="382"/>
      <c r="F81" s="383">
        <f t="shared" si="18"/>
        <v>0</v>
      </c>
      <c r="G81" s="325"/>
      <c r="H81" s="382"/>
      <c r="I81" s="383">
        <f t="shared" si="19"/>
        <v>0</v>
      </c>
      <c r="J81" s="324"/>
      <c r="K81" s="328">
        <f t="shared" si="20"/>
        <v>0</v>
      </c>
      <c r="L81" s="324"/>
      <c r="M81" s="383">
        <f t="shared" si="21"/>
        <v>0</v>
      </c>
      <c r="N81" s="383">
        <f t="shared" si="22"/>
        <v>0</v>
      </c>
      <c r="O81" s="384">
        <f t="shared" si="23"/>
        <v>0</v>
      </c>
    </row>
    <row r="82" spans="1:15" hidden="1" x14ac:dyDescent="0.2">
      <c r="A82" s="351"/>
      <c r="B82" s="381"/>
      <c r="C82" s="324"/>
      <c r="D82" s="325"/>
      <c r="E82" s="382"/>
      <c r="F82" s="383">
        <f t="shared" si="18"/>
        <v>0</v>
      </c>
      <c r="G82" s="325"/>
      <c r="H82" s="382"/>
      <c r="I82" s="383">
        <f t="shared" si="19"/>
        <v>0</v>
      </c>
      <c r="J82" s="324"/>
      <c r="K82" s="328">
        <f t="shared" si="20"/>
        <v>0</v>
      </c>
      <c r="L82" s="324"/>
      <c r="M82" s="383">
        <f t="shared" si="21"/>
        <v>0</v>
      </c>
      <c r="N82" s="383">
        <f t="shared" si="22"/>
        <v>0</v>
      </c>
      <c r="O82" s="384">
        <f t="shared" si="23"/>
        <v>0</v>
      </c>
    </row>
    <row r="83" spans="1:15" hidden="1" x14ac:dyDescent="0.2">
      <c r="A83" s="351"/>
      <c r="B83" s="381"/>
      <c r="C83" s="324"/>
      <c r="D83" s="325"/>
      <c r="E83" s="382"/>
      <c r="F83" s="383">
        <f t="shared" si="18"/>
        <v>0</v>
      </c>
      <c r="G83" s="325"/>
      <c r="H83" s="382"/>
      <c r="I83" s="383">
        <f t="shared" si="19"/>
        <v>0</v>
      </c>
      <c r="J83" s="324"/>
      <c r="K83" s="328">
        <f t="shared" si="20"/>
        <v>0</v>
      </c>
      <c r="L83" s="324"/>
      <c r="M83" s="383">
        <f t="shared" si="21"/>
        <v>0</v>
      </c>
      <c r="N83" s="383">
        <f t="shared" si="22"/>
        <v>0</v>
      </c>
      <c r="O83" s="384">
        <f t="shared" si="23"/>
        <v>0</v>
      </c>
    </row>
    <row r="84" spans="1:15" hidden="1" x14ac:dyDescent="0.2">
      <c r="A84" s="351"/>
      <c r="B84" s="381"/>
      <c r="C84" s="324"/>
      <c r="D84" s="325"/>
      <c r="E84" s="382"/>
      <c r="F84" s="383">
        <f t="shared" si="18"/>
        <v>0</v>
      </c>
      <c r="G84" s="325"/>
      <c r="H84" s="382"/>
      <c r="I84" s="383">
        <f t="shared" si="19"/>
        <v>0</v>
      </c>
      <c r="J84" s="324"/>
      <c r="K84" s="328">
        <f t="shared" si="20"/>
        <v>0</v>
      </c>
      <c r="L84" s="324"/>
      <c r="M84" s="383">
        <f t="shared" si="21"/>
        <v>0</v>
      </c>
      <c r="N84" s="383">
        <f t="shared" si="22"/>
        <v>0</v>
      </c>
      <c r="O84" s="384">
        <f t="shared" si="23"/>
        <v>0</v>
      </c>
    </row>
    <row r="85" spans="1:15" hidden="1" x14ac:dyDescent="0.2">
      <c r="A85" s="354"/>
      <c r="B85" s="381"/>
      <c r="C85" s="324"/>
      <c r="D85" s="325"/>
      <c r="E85" s="382"/>
      <c r="F85" s="383">
        <f t="shared" si="18"/>
        <v>0</v>
      </c>
      <c r="G85" s="325"/>
      <c r="H85" s="382"/>
      <c r="I85" s="383">
        <f t="shared" si="19"/>
        <v>0</v>
      </c>
      <c r="J85" s="324"/>
      <c r="K85" s="328">
        <f t="shared" si="20"/>
        <v>0</v>
      </c>
      <c r="L85" s="324"/>
      <c r="M85" s="383">
        <f t="shared" si="21"/>
        <v>0</v>
      </c>
      <c r="N85" s="383">
        <f t="shared" si="22"/>
        <v>0</v>
      </c>
      <c r="O85" s="384">
        <f t="shared" si="23"/>
        <v>0</v>
      </c>
    </row>
    <row r="86" spans="1:15" s="113" customFormat="1" hidden="1" x14ac:dyDescent="0.2">
      <c r="A86" s="385" t="s">
        <v>48</v>
      </c>
      <c r="B86" s="385"/>
      <c r="C86" s="29"/>
      <c r="D86" s="101">
        <f>SUM(D79:D85)</f>
        <v>0</v>
      </c>
      <c r="E86" s="81"/>
      <c r="F86" s="81">
        <f>SUM(F79:F85)</f>
        <v>0</v>
      </c>
      <c r="G86" s="101">
        <f>SUM(G79:G85)</f>
        <v>0</v>
      </c>
      <c r="H86" s="81"/>
      <c r="I86" s="81">
        <f>SUM(I79:I85)</f>
        <v>0</v>
      </c>
      <c r="J86" s="29"/>
      <c r="K86" s="107">
        <f>SUM(K79:K85)</f>
        <v>0</v>
      </c>
      <c r="L86" s="29"/>
      <c r="M86" s="81"/>
      <c r="N86" s="386">
        <f>SUM(N79:N85)</f>
        <v>0</v>
      </c>
      <c r="O86" s="387">
        <f>SUM(O79:O85)</f>
        <v>0</v>
      </c>
    </row>
    <row r="87" spans="1:15" hidden="1" x14ac:dyDescent="0.2">
      <c r="A87" s="351"/>
      <c r="B87" s="381"/>
      <c r="C87" s="324"/>
      <c r="D87" s="325"/>
      <c r="E87" s="382"/>
      <c r="F87" s="383">
        <f t="shared" ref="F87:F93" si="24">E87*D87</f>
        <v>0</v>
      </c>
      <c r="G87" s="325"/>
      <c r="H87" s="382"/>
      <c r="I87" s="383">
        <f t="shared" ref="I87:I93" si="25">H87*G87</f>
        <v>0</v>
      </c>
      <c r="J87" s="324"/>
      <c r="K87" s="328">
        <f t="shared" ref="K87:K93" si="26">G87*J87</f>
        <v>0</v>
      </c>
      <c r="L87" s="324"/>
      <c r="M87" s="383">
        <f t="shared" ref="M87:M93" si="27">H87*L87</f>
        <v>0</v>
      </c>
      <c r="N87" s="383">
        <f t="shared" ref="N87:N93" si="28">K87*M87</f>
        <v>0</v>
      </c>
      <c r="O87" s="384">
        <f t="shared" ref="O87:O93" si="29">H87*K87</f>
        <v>0</v>
      </c>
    </row>
    <row r="88" spans="1:15" hidden="1" x14ac:dyDescent="0.2">
      <c r="A88" s="351"/>
      <c r="B88" s="381"/>
      <c r="C88" s="324"/>
      <c r="D88" s="325"/>
      <c r="E88" s="382"/>
      <c r="F88" s="383">
        <f t="shared" si="24"/>
        <v>0</v>
      </c>
      <c r="G88" s="325"/>
      <c r="H88" s="382"/>
      <c r="I88" s="383">
        <f t="shared" si="25"/>
        <v>0</v>
      </c>
      <c r="J88" s="324"/>
      <c r="K88" s="328">
        <f t="shared" si="26"/>
        <v>0</v>
      </c>
      <c r="L88" s="324"/>
      <c r="M88" s="383">
        <f t="shared" si="27"/>
        <v>0</v>
      </c>
      <c r="N88" s="383">
        <f t="shared" si="28"/>
        <v>0</v>
      </c>
      <c r="O88" s="384">
        <f t="shared" si="29"/>
        <v>0</v>
      </c>
    </row>
    <row r="89" spans="1:15" hidden="1" x14ac:dyDescent="0.2">
      <c r="A89" s="351"/>
      <c r="B89" s="381"/>
      <c r="C89" s="324"/>
      <c r="D89" s="325"/>
      <c r="E89" s="382"/>
      <c r="F89" s="383">
        <f t="shared" si="24"/>
        <v>0</v>
      </c>
      <c r="G89" s="325"/>
      <c r="H89" s="382"/>
      <c r="I89" s="383">
        <f t="shared" si="25"/>
        <v>0</v>
      </c>
      <c r="J89" s="324"/>
      <c r="K89" s="328">
        <f t="shared" si="26"/>
        <v>0</v>
      </c>
      <c r="L89" s="324"/>
      <c r="M89" s="383">
        <f t="shared" si="27"/>
        <v>0</v>
      </c>
      <c r="N89" s="383">
        <f t="shared" si="28"/>
        <v>0</v>
      </c>
      <c r="O89" s="384">
        <f t="shared" si="29"/>
        <v>0</v>
      </c>
    </row>
    <row r="90" spans="1:15" hidden="1" x14ac:dyDescent="0.2">
      <c r="A90" s="351"/>
      <c r="B90" s="381"/>
      <c r="C90" s="324"/>
      <c r="D90" s="325"/>
      <c r="E90" s="382"/>
      <c r="F90" s="383">
        <f t="shared" si="24"/>
        <v>0</v>
      </c>
      <c r="G90" s="325"/>
      <c r="H90" s="382"/>
      <c r="I90" s="383">
        <f t="shared" si="25"/>
        <v>0</v>
      </c>
      <c r="J90" s="324"/>
      <c r="K90" s="328">
        <f t="shared" si="26"/>
        <v>0</v>
      </c>
      <c r="L90" s="324"/>
      <c r="M90" s="383">
        <f t="shared" si="27"/>
        <v>0</v>
      </c>
      <c r="N90" s="383">
        <f t="shared" si="28"/>
        <v>0</v>
      </c>
      <c r="O90" s="384">
        <f t="shared" si="29"/>
        <v>0</v>
      </c>
    </row>
    <row r="91" spans="1:15" hidden="1" x14ac:dyDescent="0.2">
      <c r="A91" s="351"/>
      <c r="B91" s="381"/>
      <c r="C91" s="324"/>
      <c r="D91" s="325"/>
      <c r="E91" s="382"/>
      <c r="F91" s="383">
        <f t="shared" si="24"/>
        <v>0</v>
      </c>
      <c r="G91" s="325"/>
      <c r="H91" s="382"/>
      <c r="I91" s="383">
        <f t="shared" si="25"/>
        <v>0</v>
      </c>
      <c r="J91" s="324"/>
      <c r="K91" s="328">
        <f t="shared" si="26"/>
        <v>0</v>
      </c>
      <c r="L91" s="324"/>
      <c r="M91" s="383">
        <f t="shared" si="27"/>
        <v>0</v>
      </c>
      <c r="N91" s="383">
        <f t="shared" si="28"/>
        <v>0</v>
      </c>
      <c r="O91" s="384">
        <f t="shared" si="29"/>
        <v>0</v>
      </c>
    </row>
    <row r="92" spans="1:15" hidden="1" x14ac:dyDescent="0.2">
      <c r="A92" s="351"/>
      <c r="B92" s="381"/>
      <c r="C92" s="324"/>
      <c r="D92" s="325"/>
      <c r="E92" s="382"/>
      <c r="F92" s="383">
        <f t="shared" si="24"/>
        <v>0</v>
      </c>
      <c r="G92" s="325"/>
      <c r="H92" s="382"/>
      <c r="I92" s="383">
        <f t="shared" si="25"/>
        <v>0</v>
      </c>
      <c r="J92" s="324"/>
      <c r="K92" s="328">
        <f t="shared" si="26"/>
        <v>0</v>
      </c>
      <c r="L92" s="324"/>
      <c r="M92" s="383">
        <f t="shared" si="27"/>
        <v>0</v>
      </c>
      <c r="N92" s="383">
        <f t="shared" si="28"/>
        <v>0</v>
      </c>
      <c r="O92" s="384">
        <f t="shared" si="29"/>
        <v>0</v>
      </c>
    </row>
    <row r="93" spans="1:15" hidden="1" x14ac:dyDescent="0.2">
      <c r="A93" s="354"/>
      <c r="B93" s="381"/>
      <c r="C93" s="324"/>
      <c r="D93" s="325"/>
      <c r="E93" s="382"/>
      <c r="F93" s="383">
        <f t="shared" si="24"/>
        <v>0</v>
      </c>
      <c r="G93" s="325"/>
      <c r="H93" s="382"/>
      <c r="I93" s="383">
        <f t="shared" si="25"/>
        <v>0</v>
      </c>
      <c r="J93" s="324"/>
      <c r="K93" s="328">
        <f t="shared" si="26"/>
        <v>0</v>
      </c>
      <c r="L93" s="324"/>
      <c r="M93" s="383">
        <f t="shared" si="27"/>
        <v>0</v>
      </c>
      <c r="N93" s="383">
        <f t="shared" si="28"/>
        <v>0</v>
      </c>
      <c r="O93" s="384">
        <f t="shared" si="29"/>
        <v>0</v>
      </c>
    </row>
    <row r="94" spans="1:15" s="113" customFormat="1" hidden="1" x14ac:dyDescent="0.2">
      <c r="A94" s="385" t="s">
        <v>49</v>
      </c>
      <c r="B94" s="29"/>
      <c r="C94" s="29"/>
      <c r="D94" s="101">
        <f>SUM(D87:D93)</f>
        <v>0</v>
      </c>
      <c r="E94" s="81"/>
      <c r="F94" s="81">
        <f>SUM(F87:F93)</f>
        <v>0</v>
      </c>
      <c r="G94" s="101">
        <f>SUM(G87:G93)</f>
        <v>0</v>
      </c>
      <c r="H94" s="81"/>
      <c r="I94" s="81">
        <f>SUM(I87:I93)</f>
        <v>0</v>
      </c>
      <c r="J94" s="29"/>
      <c r="K94" s="107">
        <f>SUM(K87:K93)</f>
        <v>0</v>
      </c>
      <c r="L94" s="29"/>
      <c r="M94" s="81"/>
      <c r="N94" s="386">
        <f>SUM(N87:N93)</f>
        <v>0</v>
      </c>
      <c r="O94" s="387">
        <f>SUM(O87:O93)</f>
        <v>0</v>
      </c>
    </row>
    <row r="95" spans="1:15" hidden="1" x14ac:dyDescent="0.2">
      <c r="A95" s="351"/>
      <c r="B95" s="381"/>
      <c r="C95" s="324"/>
      <c r="D95" s="325"/>
      <c r="E95" s="382"/>
      <c r="F95" s="383">
        <f t="shared" ref="F95:F101" si="30">E95*D95</f>
        <v>0</v>
      </c>
      <c r="G95" s="325"/>
      <c r="H95" s="382"/>
      <c r="I95" s="383">
        <f t="shared" ref="I95:I101" si="31">H95*G95</f>
        <v>0</v>
      </c>
      <c r="J95" s="324"/>
      <c r="K95" s="328">
        <f t="shared" ref="K95:K101" si="32">G95*J95</f>
        <v>0</v>
      </c>
      <c r="L95" s="324"/>
      <c r="M95" s="383">
        <f t="shared" ref="M95:M101" si="33">H95*L95</f>
        <v>0</v>
      </c>
      <c r="N95" s="383">
        <f t="shared" ref="N95:N101" si="34">K95*M95</f>
        <v>0</v>
      </c>
      <c r="O95" s="384">
        <f t="shared" ref="O95:O101" si="35">H95*K95</f>
        <v>0</v>
      </c>
    </row>
    <row r="96" spans="1:15" hidden="1" x14ac:dyDescent="0.2">
      <c r="A96" s="351"/>
      <c r="B96" s="381"/>
      <c r="C96" s="324"/>
      <c r="D96" s="325"/>
      <c r="E96" s="382"/>
      <c r="F96" s="383">
        <f t="shared" si="30"/>
        <v>0</v>
      </c>
      <c r="G96" s="325"/>
      <c r="H96" s="382"/>
      <c r="I96" s="383">
        <f t="shared" si="31"/>
        <v>0</v>
      </c>
      <c r="J96" s="324"/>
      <c r="K96" s="328">
        <f t="shared" si="32"/>
        <v>0</v>
      </c>
      <c r="L96" s="324"/>
      <c r="M96" s="383">
        <f t="shared" si="33"/>
        <v>0</v>
      </c>
      <c r="N96" s="383">
        <f t="shared" si="34"/>
        <v>0</v>
      </c>
      <c r="O96" s="384">
        <f t="shared" si="35"/>
        <v>0</v>
      </c>
    </row>
    <row r="97" spans="1:15" hidden="1" x14ac:dyDescent="0.2">
      <c r="A97" s="351"/>
      <c r="B97" s="381"/>
      <c r="C97" s="324"/>
      <c r="D97" s="325"/>
      <c r="E97" s="382"/>
      <c r="F97" s="383">
        <f t="shared" si="30"/>
        <v>0</v>
      </c>
      <c r="G97" s="325"/>
      <c r="H97" s="382"/>
      <c r="I97" s="383">
        <f t="shared" si="31"/>
        <v>0</v>
      </c>
      <c r="J97" s="324"/>
      <c r="K97" s="328">
        <f t="shared" si="32"/>
        <v>0</v>
      </c>
      <c r="L97" s="324"/>
      <c r="M97" s="383">
        <f t="shared" si="33"/>
        <v>0</v>
      </c>
      <c r="N97" s="383">
        <f t="shared" si="34"/>
        <v>0</v>
      </c>
      <c r="O97" s="384">
        <f t="shared" si="35"/>
        <v>0</v>
      </c>
    </row>
    <row r="98" spans="1:15" hidden="1" x14ac:dyDescent="0.2">
      <c r="A98" s="351"/>
      <c r="B98" s="381"/>
      <c r="C98" s="324"/>
      <c r="D98" s="325"/>
      <c r="E98" s="382"/>
      <c r="F98" s="383">
        <f t="shared" si="30"/>
        <v>0</v>
      </c>
      <c r="G98" s="325"/>
      <c r="H98" s="382"/>
      <c r="I98" s="383">
        <f t="shared" si="31"/>
        <v>0</v>
      </c>
      <c r="J98" s="324"/>
      <c r="K98" s="328">
        <f t="shared" si="32"/>
        <v>0</v>
      </c>
      <c r="L98" s="324"/>
      <c r="M98" s="383">
        <f t="shared" si="33"/>
        <v>0</v>
      </c>
      <c r="N98" s="383">
        <f t="shared" si="34"/>
        <v>0</v>
      </c>
      <c r="O98" s="384">
        <f t="shared" si="35"/>
        <v>0</v>
      </c>
    </row>
    <row r="99" spans="1:15" hidden="1" x14ac:dyDescent="0.2">
      <c r="A99" s="351"/>
      <c r="B99" s="381"/>
      <c r="C99" s="324"/>
      <c r="D99" s="325"/>
      <c r="E99" s="382"/>
      <c r="F99" s="383">
        <f t="shared" si="30"/>
        <v>0</v>
      </c>
      <c r="G99" s="325"/>
      <c r="H99" s="382"/>
      <c r="I99" s="383">
        <f t="shared" si="31"/>
        <v>0</v>
      </c>
      <c r="J99" s="324"/>
      <c r="K99" s="328">
        <f t="shared" si="32"/>
        <v>0</v>
      </c>
      <c r="L99" s="324"/>
      <c r="M99" s="383">
        <f t="shared" si="33"/>
        <v>0</v>
      </c>
      <c r="N99" s="383">
        <f t="shared" si="34"/>
        <v>0</v>
      </c>
      <c r="O99" s="384">
        <f t="shared" si="35"/>
        <v>0</v>
      </c>
    </row>
    <row r="100" spans="1:15" hidden="1" x14ac:dyDescent="0.2">
      <c r="A100" s="351"/>
      <c r="B100" s="381"/>
      <c r="C100" s="324"/>
      <c r="D100" s="325"/>
      <c r="E100" s="382"/>
      <c r="F100" s="383">
        <f t="shared" si="30"/>
        <v>0</v>
      </c>
      <c r="G100" s="325"/>
      <c r="H100" s="382"/>
      <c r="I100" s="383">
        <f t="shared" si="31"/>
        <v>0</v>
      </c>
      <c r="J100" s="324"/>
      <c r="K100" s="328">
        <f t="shared" si="32"/>
        <v>0</v>
      </c>
      <c r="L100" s="324"/>
      <c r="M100" s="383">
        <f t="shared" si="33"/>
        <v>0</v>
      </c>
      <c r="N100" s="383">
        <f t="shared" si="34"/>
        <v>0</v>
      </c>
      <c r="O100" s="384">
        <f t="shared" si="35"/>
        <v>0</v>
      </c>
    </row>
    <row r="101" spans="1:15" hidden="1" x14ac:dyDescent="0.2">
      <c r="A101" s="354"/>
      <c r="B101" s="381"/>
      <c r="C101" s="324"/>
      <c r="D101" s="325"/>
      <c r="E101" s="382"/>
      <c r="F101" s="383">
        <f t="shared" si="30"/>
        <v>0</v>
      </c>
      <c r="G101" s="325"/>
      <c r="H101" s="382"/>
      <c r="I101" s="383">
        <f t="shared" si="31"/>
        <v>0</v>
      </c>
      <c r="J101" s="324"/>
      <c r="K101" s="328">
        <f t="shared" si="32"/>
        <v>0</v>
      </c>
      <c r="L101" s="324"/>
      <c r="M101" s="383">
        <f t="shared" si="33"/>
        <v>0</v>
      </c>
      <c r="N101" s="383">
        <f t="shared" si="34"/>
        <v>0</v>
      </c>
      <c r="O101" s="384">
        <f t="shared" si="35"/>
        <v>0</v>
      </c>
    </row>
    <row r="102" spans="1:15" s="113" customFormat="1" ht="12" hidden="1" thickBot="1" x14ac:dyDescent="0.25">
      <c r="A102" s="79" t="s">
        <v>50</v>
      </c>
      <c r="B102" s="79"/>
      <c r="C102" s="80"/>
      <c r="D102" s="103">
        <f>SUM(D95:D101)</f>
        <v>0</v>
      </c>
      <c r="E102" s="89"/>
      <c r="F102" s="89">
        <f>SUM(F95:F101)</f>
        <v>0</v>
      </c>
      <c r="G102" s="103">
        <f>SUM(G95:G101)</f>
        <v>0</v>
      </c>
      <c r="H102" s="89"/>
      <c r="I102" s="89">
        <f>SUM(I95:I101)</f>
        <v>0</v>
      </c>
      <c r="J102" s="80"/>
      <c r="K102" s="109">
        <f>SUM(K95:K101)</f>
        <v>0</v>
      </c>
      <c r="L102" s="80"/>
      <c r="M102" s="89"/>
      <c r="N102" s="96">
        <f>SUM(N95:N101)</f>
        <v>0</v>
      </c>
      <c r="O102" s="91">
        <f>SUM(O95:O101)</f>
        <v>0</v>
      </c>
    </row>
    <row r="103" spans="1:15" ht="12.75" hidden="1" thickTop="1" thickBot="1" x14ac:dyDescent="0.25">
      <c r="A103" s="117" t="s">
        <v>827</v>
      </c>
      <c r="B103" s="392"/>
      <c r="C103" s="123"/>
      <c r="D103" s="124"/>
      <c r="E103" s="125"/>
      <c r="F103" s="84">
        <f>F109</f>
        <v>0</v>
      </c>
      <c r="G103" s="124"/>
      <c r="H103" s="126"/>
      <c r="I103" s="84">
        <f>I109</f>
        <v>0</v>
      </c>
      <c r="J103" s="127"/>
      <c r="K103" s="124"/>
      <c r="L103" s="127"/>
      <c r="M103" s="126"/>
      <c r="N103" s="84">
        <f>N109</f>
        <v>0</v>
      </c>
      <c r="O103" s="93">
        <f>O109</f>
        <v>0</v>
      </c>
    </row>
    <row r="104" spans="1:15" ht="12" hidden="1" thickTop="1" x14ac:dyDescent="0.2">
      <c r="A104" s="363"/>
      <c r="B104" s="246"/>
      <c r="C104" s="138"/>
      <c r="D104" s="139"/>
      <c r="E104" s="140"/>
      <c r="F104" s="100">
        <f>E104*D104</f>
        <v>0</v>
      </c>
      <c r="G104" s="139"/>
      <c r="H104" s="141"/>
      <c r="I104" s="100">
        <f>H104*G104</f>
        <v>0</v>
      </c>
      <c r="J104" s="142"/>
      <c r="K104" s="364">
        <f>G104*J104</f>
        <v>0</v>
      </c>
      <c r="L104" s="142"/>
      <c r="M104" s="393">
        <f>H104*L104</f>
        <v>0</v>
      </c>
      <c r="N104" s="100">
        <f>K104*M104</f>
        <v>0</v>
      </c>
      <c r="O104" s="394">
        <f>H104*K104</f>
        <v>0</v>
      </c>
    </row>
    <row r="105" spans="1:15" hidden="1" x14ac:dyDescent="0.2">
      <c r="A105" s="395"/>
      <c r="B105" s="396"/>
      <c r="C105" s="128"/>
      <c r="D105" s="129"/>
      <c r="E105" s="130"/>
      <c r="F105" s="85">
        <f>E105*D105</f>
        <v>0</v>
      </c>
      <c r="G105" s="129"/>
      <c r="H105" s="131"/>
      <c r="I105" s="85">
        <f>H105*G105</f>
        <v>0</v>
      </c>
      <c r="J105" s="132"/>
      <c r="K105" s="397">
        <f>G105*J105</f>
        <v>0</v>
      </c>
      <c r="L105" s="132"/>
      <c r="M105" s="398">
        <f>H105*L105</f>
        <v>0</v>
      </c>
      <c r="N105" s="85">
        <f>K105*M105</f>
        <v>0</v>
      </c>
      <c r="O105" s="394">
        <f>H105*K105</f>
        <v>0</v>
      </c>
    </row>
    <row r="106" spans="1:15" hidden="1" x14ac:dyDescent="0.2">
      <c r="A106" s="395"/>
      <c r="B106" s="396"/>
      <c r="C106" s="128"/>
      <c r="D106" s="129"/>
      <c r="E106" s="130"/>
      <c r="F106" s="85">
        <f>E106*D106</f>
        <v>0</v>
      </c>
      <c r="G106" s="129"/>
      <c r="H106" s="131"/>
      <c r="I106" s="85">
        <f>H106*G106</f>
        <v>0</v>
      </c>
      <c r="J106" s="132"/>
      <c r="K106" s="397">
        <f>G106*J106</f>
        <v>0</v>
      </c>
      <c r="L106" s="132"/>
      <c r="M106" s="398">
        <f>H106*L106</f>
        <v>0</v>
      </c>
      <c r="N106" s="85">
        <f>K106*M106</f>
        <v>0</v>
      </c>
      <c r="O106" s="394">
        <f>H106*K106</f>
        <v>0</v>
      </c>
    </row>
    <row r="107" spans="1:15" hidden="1" x14ac:dyDescent="0.2">
      <c r="A107" s="395"/>
      <c r="B107" s="396"/>
      <c r="C107" s="128"/>
      <c r="D107" s="129"/>
      <c r="E107" s="130"/>
      <c r="F107" s="85">
        <f>E107*D107</f>
        <v>0</v>
      </c>
      <c r="G107" s="129"/>
      <c r="H107" s="131"/>
      <c r="I107" s="85">
        <f>H107*G107</f>
        <v>0</v>
      </c>
      <c r="J107" s="132"/>
      <c r="K107" s="397">
        <f>G107*J107</f>
        <v>0</v>
      </c>
      <c r="L107" s="132"/>
      <c r="M107" s="398">
        <f>H107*L107</f>
        <v>0</v>
      </c>
      <c r="N107" s="85">
        <f>K107*M107</f>
        <v>0</v>
      </c>
      <c r="O107" s="394">
        <f>H107*K107</f>
        <v>0</v>
      </c>
    </row>
    <row r="108" spans="1:15" hidden="1" x14ac:dyDescent="0.2">
      <c r="A108" s="365"/>
      <c r="B108" s="399"/>
      <c r="C108" s="279"/>
      <c r="D108" s="280"/>
      <c r="E108" s="281"/>
      <c r="F108" s="400">
        <f>E108*D108</f>
        <v>0</v>
      </c>
      <c r="G108" s="280"/>
      <c r="H108" s="282"/>
      <c r="I108" s="400">
        <f>H108*G108</f>
        <v>0</v>
      </c>
      <c r="J108" s="283"/>
      <c r="K108" s="366">
        <f>G108*J108</f>
        <v>0</v>
      </c>
      <c r="L108" s="283"/>
      <c r="M108" s="401">
        <f>H108*L108</f>
        <v>0</v>
      </c>
      <c r="N108" s="400">
        <f>K108*M108</f>
        <v>0</v>
      </c>
      <c r="O108" s="402">
        <f>H108*K108</f>
        <v>0</v>
      </c>
    </row>
    <row r="109" spans="1:15" s="113" customFormat="1" ht="12" hidden="1" thickBot="1" x14ac:dyDescent="0.25">
      <c r="A109" s="79" t="s">
        <v>48</v>
      </c>
      <c r="B109" s="234"/>
      <c r="C109" s="77"/>
      <c r="D109" s="105">
        <f>SUM(D104:D108)</f>
        <v>0</v>
      </c>
      <c r="E109" s="97"/>
      <c r="F109" s="97">
        <f>SUM(F104:F108)</f>
        <v>0</v>
      </c>
      <c r="G109" s="105">
        <f>SUM(G104:G108)</f>
        <v>0</v>
      </c>
      <c r="H109" s="97"/>
      <c r="I109" s="97">
        <f>SUM(I104:I108)</f>
        <v>0</v>
      </c>
      <c r="J109" s="77"/>
      <c r="K109" s="112">
        <f>SUM(K104:K108)</f>
        <v>0</v>
      </c>
      <c r="L109" s="77"/>
      <c r="M109" s="97"/>
      <c r="N109" s="98">
        <f>SUM(N104:N108)</f>
        <v>0</v>
      </c>
      <c r="O109" s="99">
        <f>SUM(O104:O108)</f>
        <v>0</v>
      </c>
    </row>
    <row r="110" spans="1:15" s="1" customFormat="1" x14ac:dyDescent="0.2"/>
  </sheetData>
  <mergeCells count="14">
    <mergeCell ref="A9:B9"/>
    <mergeCell ref="A1:O1"/>
    <mergeCell ref="A2:O2"/>
    <mergeCell ref="A3:O3"/>
    <mergeCell ref="B5:G5"/>
    <mergeCell ref="B7:G7"/>
    <mergeCell ref="A11:A14"/>
    <mergeCell ref="B11:B14"/>
    <mergeCell ref="D11:F11"/>
    <mergeCell ref="G11:I11"/>
    <mergeCell ref="J11:O11"/>
    <mergeCell ref="F12:F13"/>
    <mergeCell ref="J12:K12"/>
    <mergeCell ref="L12:M1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02DB-0EEB-46F2-9D6C-75EF31B10D5B}">
  <dimension ref="A1:O287"/>
  <sheetViews>
    <sheetView workbookViewId="0">
      <selection activeCell="F19" sqref="F19"/>
    </sheetView>
  </sheetViews>
  <sheetFormatPr baseColWidth="10" defaultRowHeight="11.25" x14ac:dyDescent="0.2"/>
  <cols>
    <col min="1" max="1" width="3.140625" style="113" bestFit="1" customWidth="1"/>
    <col min="2" max="2" width="5.42578125" style="113" bestFit="1" customWidth="1"/>
    <col min="3" max="3" width="4.5703125" style="113" customWidth="1"/>
    <col min="4" max="4" width="3.42578125" style="113" bestFit="1" customWidth="1"/>
    <col min="5" max="5" width="36" style="113" customWidth="1"/>
    <col min="6" max="6" width="16.5703125" style="546" bestFit="1" customWidth="1"/>
    <col min="7" max="7" width="6.85546875" style="113" bestFit="1" customWidth="1"/>
    <col min="8" max="9" width="15.5703125" style="113" bestFit="1" customWidth="1"/>
    <col min="10" max="10" width="6.85546875" style="113" bestFit="1" customWidth="1"/>
    <col min="11" max="11" width="15.5703125" style="113" bestFit="1" customWidth="1"/>
    <col min="12" max="12" width="13.42578125" style="113" bestFit="1" customWidth="1"/>
    <col min="13" max="13" width="6.85546875" style="113" bestFit="1" customWidth="1"/>
    <col min="14" max="14" width="13.42578125" style="113" bestFit="1" customWidth="1"/>
    <col min="15" max="16384" width="11.42578125" style="113"/>
  </cols>
  <sheetData>
    <row r="1" spans="1:15" x14ac:dyDescent="0.2">
      <c r="A1" s="690" t="s">
        <v>27</v>
      </c>
      <c r="B1" s="690"/>
      <c r="C1" s="690"/>
      <c r="D1" s="690"/>
      <c r="E1" s="690"/>
      <c r="F1" s="690"/>
      <c r="G1" s="690"/>
      <c r="H1" s="690"/>
      <c r="I1" s="690"/>
      <c r="J1" s="690"/>
      <c r="K1" s="690"/>
      <c r="L1" s="690"/>
      <c r="M1" s="690"/>
      <c r="N1" s="690"/>
      <c r="O1" s="529"/>
    </row>
    <row r="2" spans="1:15" x14ac:dyDescent="0.2">
      <c r="A2" s="690" t="s">
        <v>62</v>
      </c>
      <c r="B2" s="690"/>
      <c r="C2" s="690"/>
      <c r="D2" s="690"/>
      <c r="E2" s="690"/>
      <c r="F2" s="690"/>
      <c r="G2" s="690"/>
      <c r="H2" s="690"/>
      <c r="I2" s="690"/>
      <c r="J2" s="690"/>
      <c r="K2" s="690"/>
      <c r="L2" s="690"/>
      <c r="M2" s="690"/>
      <c r="N2" s="690"/>
      <c r="O2" s="529"/>
    </row>
    <row r="3" spans="1:15" x14ac:dyDescent="0.2">
      <c r="A3" s="690" t="s">
        <v>357</v>
      </c>
      <c r="B3" s="690"/>
      <c r="C3" s="690"/>
      <c r="D3" s="690"/>
      <c r="E3" s="690"/>
      <c r="F3" s="690"/>
      <c r="G3" s="690"/>
      <c r="H3" s="690"/>
      <c r="I3" s="690"/>
      <c r="J3" s="690"/>
      <c r="K3" s="690"/>
      <c r="L3" s="690"/>
      <c r="M3" s="690"/>
      <c r="N3" s="690"/>
      <c r="O3" s="529"/>
    </row>
    <row r="4" spans="1:15" x14ac:dyDescent="0.2">
      <c r="A4" s="530"/>
      <c r="B4" s="530"/>
      <c r="C4" s="530"/>
      <c r="D4" s="530"/>
      <c r="E4" s="530"/>
      <c r="F4" s="531"/>
      <c r="G4" s="530"/>
      <c r="H4" s="530"/>
      <c r="I4" s="530"/>
      <c r="J4" s="530"/>
      <c r="K4" s="530"/>
      <c r="L4" s="530"/>
      <c r="M4" s="530"/>
      <c r="N4" s="530"/>
      <c r="O4" s="530"/>
    </row>
    <row r="5" spans="1:15" x14ac:dyDescent="0.2">
      <c r="A5" s="529" t="s">
        <v>1176</v>
      </c>
      <c r="B5" s="530"/>
      <c r="C5" s="530"/>
      <c r="D5" s="530"/>
      <c r="E5" s="530"/>
      <c r="F5" s="531"/>
      <c r="G5" s="530"/>
      <c r="H5" s="530"/>
      <c r="I5" s="530"/>
      <c r="J5" s="530"/>
      <c r="K5" s="530"/>
      <c r="L5" s="530"/>
      <c r="M5" s="530"/>
      <c r="N5" s="530"/>
      <c r="O5" s="530"/>
    </row>
    <row r="6" spans="1:15" x14ac:dyDescent="0.2">
      <c r="A6" s="529" t="s">
        <v>1177</v>
      </c>
      <c r="B6" s="530"/>
      <c r="C6" s="530"/>
      <c r="D6" s="530"/>
      <c r="E6" s="530"/>
      <c r="F6" s="531"/>
      <c r="G6" s="530"/>
      <c r="H6" s="530"/>
      <c r="I6" s="530"/>
      <c r="J6" s="530"/>
      <c r="K6" s="530"/>
      <c r="L6" s="530"/>
      <c r="M6" s="530"/>
      <c r="N6" s="530"/>
      <c r="O6" s="530"/>
    </row>
    <row r="7" spans="1:15" x14ac:dyDescent="0.2">
      <c r="A7" s="530"/>
      <c r="B7" s="530"/>
      <c r="C7" s="530"/>
      <c r="D7" s="530"/>
      <c r="E7" s="530"/>
      <c r="F7" s="531"/>
      <c r="G7" s="530"/>
      <c r="H7" s="530"/>
      <c r="I7" s="530"/>
      <c r="J7" s="530"/>
      <c r="K7" s="530"/>
      <c r="L7" s="530"/>
      <c r="M7" s="530"/>
      <c r="N7" s="530"/>
      <c r="O7" s="530"/>
    </row>
    <row r="8" spans="1:15" x14ac:dyDescent="0.2">
      <c r="A8" s="530"/>
      <c r="B8" s="530"/>
      <c r="C8" s="530"/>
      <c r="D8" s="530"/>
      <c r="E8" s="529" t="s">
        <v>1178</v>
      </c>
      <c r="F8" s="531"/>
      <c r="G8" s="530"/>
      <c r="H8" s="530"/>
      <c r="I8" s="530"/>
      <c r="J8" s="530"/>
      <c r="K8" s="529" t="s">
        <v>1179</v>
      </c>
      <c r="L8" s="530"/>
      <c r="M8" s="530"/>
      <c r="N8" s="530"/>
      <c r="O8" s="530"/>
    </row>
    <row r="9" spans="1:15" ht="12" thickBot="1" x14ac:dyDescent="0.25">
      <c r="A9" s="530"/>
      <c r="B9" s="530"/>
      <c r="C9" s="530"/>
      <c r="D9" s="530"/>
      <c r="E9" s="530"/>
      <c r="F9" s="531"/>
      <c r="G9" s="530"/>
      <c r="H9" s="530"/>
      <c r="I9" s="530"/>
      <c r="J9" s="530"/>
      <c r="K9" s="530"/>
      <c r="L9" s="530"/>
      <c r="M9" s="530"/>
      <c r="N9" s="530"/>
      <c r="O9" s="530"/>
    </row>
    <row r="10" spans="1:15" ht="12.75" thickTop="1" thickBot="1" x14ac:dyDescent="0.25">
      <c r="A10" s="736" t="s">
        <v>113</v>
      </c>
      <c r="B10" s="737"/>
      <c r="C10" s="737"/>
      <c r="D10" s="737"/>
      <c r="E10" s="738" t="s">
        <v>17</v>
      </c>
      <c r="F10" s="741" t="s">
        <v>63</v>
      </c>
      <c r="G10" s="742"/>
      <c r="H10" s="743"/>
      <c r="I10" s="744" t="s">
        <v>64</v>
      </c>
      <c r="J10" s="744"/>
      <c r="K10" s="744"/>
      <c r="L10" s="745" t="s">
        <v>65</v>
      </c>
      <c r="M10" s="746"/>
      <c r="N10" s="747"/>
      <c r="O10" s="729" t="s">
        <v>116</v>
      </c>
    </row>
    <row r="11" spans="1:15" ht="23.25" thickBot="1" x14ac:dyDescent="0.25">
      <c r="A11" s="732" t="s">
        <v>117</v>
      </c>
      <c r="B11" s="734" t="s">
        <v>118</v>
      </c>
      <c r="C11" s="734" t="s">
        <v>119</v>
      </c>
      <c r="D11" s="734" t="s">
        <v>114</v>
      </c>
      <c r="E11" s="739"/>
      <c r="F11" s="532" t="s">
        <v>23</v>
      </c>
      <c r="G11" s="533" t="s">
        <v>70</v>
      </c>
      <c r="H11" s="533" t="s">
        <v>66</v>
      </c>
      <c r="I11" s="533" t="s">
        <v>23</v>
      </c>
      <c r="J11" s="533" t="s">
        <v>70</v>
      </c>
      <c r="K11" s="533" t="s">
        <v>66</v>
      </c>
      <c r="L11" s="533" t="s">
        <v>23</v>
      </c>
      <c r="M11" s="533" t="s">
        <v>70</v>
      </c>
      <c r="N11" s="534" t="s">
        <v>66</v>
      </c>
      <c r="O11" s="730"/>
    </row>
    <row r="12" spans="1:15" ht="12" thickBot="1" x14ac:dyDescent="0.25">
      <c r="A12" s="733"/>
      <c r="B12" s="735"/>
      <c r="C12" s="735"/>
      <c r="D12" s="735"/>
      <c r="E12" s="740"/>
      <c r="F12" s="535">
        <v>1</v>
      </c>
      <c r="G12" s="535">
        <v>2</v>
      </c>
      <c r="H12" s="535" t="s">
        <v>67</v>
      </c>
      <c r="I12" s="535">
        <v>4</v>
      </c>
      <c r="J12" s="535">
        <v>5</v>
      </c>
      <c r="K12" s="535" t="s">
        <v>68</v>
      </c>
      <c r="L12" s="535">
        <v>7</v>
      </c>
      <c r="M12" s="535">
        <v>8</v>
      </c>
      <c r="N12" s="536" t="s">
        <v>69</v>
      </c>
      <c r="O12" s="731"/>
    </row>
    <row r="13" spans="1:15" ht="12" thickTop="1" x14ac:dyDescent="0.2">
      <c r="A13" s="537" t="s">
        <v>543</v>
      </c>
      <c r="B13" s="537"/>
      <c r="C13" s="537"/>
      <c r="D13" s="537"/>
      <c r="E13" s="538" t="s">
        <v>71</v>
      </c>
      <c r="F13" s="539">
        <f>+F14</f>
        <v>11816592623</v>
      </c>
      <c r="G13" s="540"/>
      <c r="H13" s="539">
        <f t="shared" ref="H13:H35" si="0">+F13+G13</f>
        <v>11816592623</v>
      </c>
      <c r="I13" s="539">
        <f>+I14</f>
        <v>22166464000</v>
      </c>
      <c r="J13" s="540"/>
      <c r="K13" s="539">
        <f t="shared" ref="K13:K35" si="1">+I13+J13</f>
        <v>22166464000</v>
      </c>
      <c r="L13" s="540"/>
      <c r="M13" s="540"/>
      <c r="N13" s="540"/>
      <c r="O13" s="540"/>
    </row>
    <row r="14" spans="1:15" x14ac:dyDescent="0.2">
      <c r="A14" s="537" t="s">
        <v>543</v>
      </c>
      <c r="B14" s="537" t="s">
        <v>543</v>
      </c>
      <c r="C14" s="537"/>
      <c r="D14" s="537"/>
      <c r="E14" s="538" t="s">
        <v>72</v>
      </c>
      <c r="F14" s="539">
        <f>SUM(F15:F18)</f>
        <v>11816592623</v>
      </c>
      <c r="G14" s="540"/>
      <c r="H14" s="539">
        <f t="shared" si="0"/>
        <v>11816592623</v>
      </c>
      <c r="I14" s="539">
        <f>SUM(I15:I18)</f>
        <v>22166464000</v>
      </c>
      <c r="J14" s="540"/>
      <c r="K14" s="539">
        <f t="shared" si="1"/>
        <v>22166464000</v>
      </c>
      <c r="L14" s="540"/>
      <c r="M14" s="540"/>
      <c r="N14" s="540"/>
      <c r="O14" s="540"/>
    </row>
    <row r="15" spans="1:15" x14ac:dyDescent="0.2">
      <c r="A15" s="537" t="s">
        <v>543</v>
      </c>
      <c r="B15" s="537" t="s">
        <v>543</v>
      </c>
      <c r="C15" s="537" t="s">
        <v>543</v>
      </c>
      <c r="D15" s="537"/>
      <c r="E15" s="538" t="s">
        <v>73</v>
      </c>
      <c r="F15" s="539">
        <v>7168094000</v>
      </c>
      <c r="G15" s="540"/>
      <c r="H15" s="539">
        <f t="shared" si="0"/>
        <v>7168094000</v>
      </c>
      <c r="I15" s="539">
        <v>15397281000</v>
      </c>
      <c r="J15" s="540"/>
      <c r="K15" s="539">
        <f t="shared" si="1"/>
        <v>15397281000</v>
      </c>
      <c r="L15" s="540"/>
      <c r="M15" s="540"/>
      <c r="N15" s="540"/>
      <c r="O15" s="540"/>
    </row>
    <row r="16" spans="1:15" x14ac:dyDescent="0.2">
      <c r="A16" s="537" t="s">
        <v>543</v>
      </c>
      <c r="B16" s="537" t="s">
        <v>543</v>
      </c>
      <c r="C16" s="537" t="s">
        <v>544</v>
      </c>
      <c r="D16" s="537"/>
      <c r="E16" s="538" t="s">
        <v>74</v>
      </c>
      <c r="F16" s="539">
        <v>2609692623</v>
      </c>
      <c r="G16" s="540"/>
      <c r="H16" s="539">
        <f t="shared" si="0"/>
        <v>2609692623</v>
      </c>
      <c r="I16" s="539">
        <v>5666920000</v>
      </c>
      <c r="J16" s="540"/>
      <c r="K16" s="539">
        <f t="shared" si="1"/>
        <v>5666920000</v>
      </c>
      <c r="L16" s="540"/>
      <c r="M16" s="540"/>
      <c r="N16" s="540"/>
      <c r="O16" s="540"/>
    </row>
    <row r="17" spans="1:15" x14ac:dyDescent="0.2">
      <c r="A17" s="537" t="s">
        <v>543</v>
      </c>
      <c r="B17" s="537" t="s">
        <v>543</v>
      </c>
      <c r="C17" s="537" t="s">
        <v>545</v>
      </c>
      <c r="D17" s="537"/>
      <c r="E17" s="538" t="s">
        <v>969</v>
      </c>
      <c r="F17" s="539">
        <v>1476556000</v>
      </c>
      <c r="G17" s="540"/>
      <c r="H17" s="539">
        <f t="shared" si="0"/>
        <v>1476556000</v>
      </c>
      <c r="I17" s="539">
        <v>1102263000</v>
      </c>
      <c r="J17" s="540"/>
      <c r="K17" s="539">
        <f t="shared" si="1"/>
        <v>1102263000</v>
      </c>
      <c r="L17" s="540"/>
      <c r="M17" s="540"/>
      <c r="N17" s="540"/>
      <c r="O17" s="540"/>
    </row>
    <row r="18" spans="1:15" x14ac:dyDescent="0.2">
      <c r="A18" s="537" t="s">
        <v>543</v>
      </c>
      <c r="B18" s="537" t="s">
        <v>543</v>
      </c>
      <c r="C18" s="537" t="s">
        <v>548</v>
      </c>
      <c r="D18" s="537"/>
      <c r="E18" s="538" t="s">
        <v>674</v>
      </c>
      <c r="F18" s="539">
        <v>562250000</v>
      </c>
      <c r="G18" s="540"/>
      <c r="H18" s="539">
        <f t="shared" si="0"/>
        <v>562250000</v>
      </c>
      <c r="I18" s="539">
        <v>0</v>
      </c>
      <c r="J18" s="540"/>
      <c r="K18" s="539">
        <f t="shared" si="1"/>
        <v>0</v>
      </c>
      <c r="L18" s="540"/>
      <c r="M18" s="540"/>
      <c r="N18" s="540"/>
      <c r="O18" s="540"/>
    </row>
    <row r="19" spans="1:15" x14ac:dyDescent="0.2">
      <c r="A19" s="537" t="s">
        <v>544</v>
      </c>
      <c r="B19" s="537"/>
      <c r="C19" s="537"/>
      <c r="D19" s="537"/>
      <c r="E19" s="538" t="s">
        <v>75</v>
      </c>
      <c r="F19" s="539">
        <f>+F20+F21</f>
        <v>1216300000</v>
      </c>
      <c r="G19" s="540"/>
      <c r="H19" s="539">
        <f t="shared" si="0"/>
        <v>1216300000</v>
      </c>
      <c r="I19" s="539">
        <f>+I20+I21</f>
        <v>2385268000</v>
      </c>
      <c r="J19" s="540"/>
      <c r="K19" s="539">
        <f t="shared" si="1"/>
        <v>2385268000</v>
      </c>
      <c r="L19" s="540"/>
      <c r="M19" s="540"/>
      <c r="N19" s="540"/>
      <c r="O19" s="540"/>
    </row>
    <row r="20" spans="1:15" x14ac:dyDescent="0.2">
      <c r="A20" s="537" t="s">
        <v>544</v>
      </c>
      <c r="B20" s="537" t="s">
        <v>543</v>
      </c>
      <c r="C20" s="537"/>
      <c r="D20" s="537"/>
      <c r="E20" s="538" t="s">
        <v>76</v>
      </c>
      <c r="F20" s="539">
        <v>180000000</v>
      </c>
      <c r="G20" s="540"/>
      <c r="H20" s="539">
        <f t="shared" si="0"/>
        <v>180000000</v>
      </c>
      <c r="I20" s="539">
        <v>280000000</v>
      </c>
      <c r="J20" s="540"/>
      <c r="K20" s="539">
        <f t="shared" si="1"/>
        <v>280000000</v>
      </c>
      <c r="L20" s="540"/>
      <c r="M20" s="540"/>
      <c r="N20" s="540"/>
      <c r="O20" s="540"/>
    </row>
    <row r="21" spans="1:15" x14ac:dyDescent="0.2">
      <c r="A21" s="537" t="s">
        <v>544</v>
      </c>
      <c r="B21" s="537" t="s">
        <v>544</v>
      </c>
      <c r="C21" s="537"/>
      <c r="D21" s="537"/>
      <c r="E21" s="538" t="s">
        <v>90</v>
      </c>
      <c r="F21" s="539">
        <v>1036300000</v>
      </c>
      <c r="G21" s="540"/>
      <c r="H21" s="539">
        <f t="shared" si="0"/>
        <v>1036300000</v>
      </c>
      <c r="I21" s="539">
        <v>2105268000</v>
      </c>
      <c r="J21" s="540"/>
      <c r="K21" s="539">
        <f t="shared" si="1"/>
        <v>2105268000</v>
      </c>
      <c r="L21" s="539">
        <v>315752990</v>
      </c>
      <c r="M21" s="540"/>
      <c r="N21" s="539">
        <f>+L21+M21</f>
        <v>315752990</v>
      </c>
      <c r="O21" s="540"/>
    </row>
    <row r="22" spans="1:15" x14ac:dyDescent="0.2">
      <c r="A22" s="537" t="s">
        <v>545</v>
      </c>
      <c r="B22" s="537"/>
      <c r="C22" s="537"/>
      <c r="D22" s="537"/>
      <c r="E22" s="538" t="s">
        <v>6</v>
      </c>
      <c r="F22" s="539">
        <f>+F23+F26</f>
        <v>1420837301</v>
      </c>
      <c r="G22" s="540"/>
      <c r="H22" s="539">
        <f t="shared" si="0"/>
        <v>1420837301</v>
      </c>
      <c r="I22" s="539">
        <f>+I23+I26</f>
        <v>80000000</v>
      </c>
      <c r="J22" s="540"/>
      <c r="K22" s="539">
        <f t="shared" si="1"/>
        <v>80000000</v>
      </c>
      <c r="L22" s="540"/>
      <c r="M22" s="540"/>
      <c r="N22" s="540"/>
      <c r="O22" s="540"/>
    </row>
    <row r="23" spans="1:15" x14ac:dyDescent="0.2">
      <c r="A23" s="537" t="s">
        <v>545</v>
      </c>
      <c r="B23" s="537" t="s">
        <v>545</v>
      </c>
      <c r="C23" s="537"/>
      <c r="D23" s="537"/>
      <c r="E23" s="538" t="s">
        <v>1180</v>
      </c>
      <c r="F23" s="539">
        <f>+F24</f>
        <v>843600000</v>
      </c>
      <c r="G23" s="540"/>
      <c r="H23" s="539">
        <f t="shared" si="0"/>
        <v>843600000</v>
      </c>
      <c r="I23" s="539">
        <f>+I24</f>
        <v>0</v>
      </c>
      <c r="J23" s="540"/>
      <c r="K23" s="539">
        <f t="shared" si="1"/>
        <v>0</v>
      </c>
      <c r="L23" s="540"/>
      <c r="M23" s="540"/>
      <c r="N23" s="540"/>
      <c r="O23" s="540"/>
    </row>
    <row r="24" spans="1:15" x14ac:dyDescent="0.2">
      <c r="A24" s="537" t="s">
        <v>545</v>
      </c>
      <c r="B24" s="537" t="s">
        <v>545</v>
      </c>
      <c r="C24" s="537" t="s">
        <v>548</v>
      </c>
      <c r="D24" s="537"/>
      <c r="E24" s="538" t="s">
        <v>79</v>
      </c>
      <c r="F24" s="539">
        <f>+F25</f>
        <v>843600000</v>
      </c>
      <c r="G24" s="540"/>
      <c r="H24" s="539">
        <f t="shared" si="0"/>
        <v>843600000</v>
      </c>
      <c r="I24" s="539">
        <f>+I25</f>
        <v>0</v>
      </c>
      <c r="J24" s="540"/>
      <c r="K24" s="539">
        <f t="shared" si="1"/>
        <v>0</v>
      </c>
      <c r="L24" s="540"/>
      <c r="M24" s="540"/>
      <c r="N24" s="540"/>
      <c r="O24" s="540"/>
    </row>
    <row r="25" spans="1:15" x14ac:dyDescent="0.2">
      <c r="A25" s="541" t="s">
        <v>545</v>
      </c>
      <c r="B25" s="541" t="s">
        <v>545</v>
      </c>
      <c r="C25" s="541" t="s">
        <v>548</v>
      </c>
      <c r="D25" s="541" t="s">
        <v>970</v>
      </c>
      <c r="E25" s="542" t="s">
        <v>1181</v>
      </c>
      <c r="F25" s="543">
        <v>843600000</v>
      </c>
      <c r="G25" s="544"/>
      <c r="H25" s="543">
        <f t="shared" si="0"/>
        <v>843600000</v>
      </c>
      <c r="I25" s="543">
        <v>0</v>
      </c>
      <c r="J25" s="544"/>
      <c r="K25" s="543">
        <f t="shared" si="1"/>
        <v>0</v>
      </c>
      <c r="L25" s="544"/>
      <c r="M25" s="544"/>
      <c r="N25" s="544"/>
      <c r="O25" s="544"/>
    </row>
    <row r="26" spans="1:15" x14ac:dyDescent="0.2">
      <c r="A26" s="537" t="s">
        <v>545</v>
      </c>
      <c r="B26" s="537" t="s">
        <v>548</v>
      </c>
      <c r="C26" s="537"/>
      <c r="D26" s="537"/>
      <c r="E26" s="538" t="s">
        <v>1182</v>
      </c>
      <c r="F26" s="539">
        <f>+F27</f>
        <v>577237301</v>
      </c>
      <c r="G26" s="540"/>
      <c r="H26" s="539">
        <f t="shared" si="0"/>
        <v>577237301</v>
      </c>
      <c r="I26" s="539">
        <f>+I27</f>
        <v>80000000</v>
      </c>
      <c r="J26" s="540"/>
      <c r="K26" s="539">
        <f t="shared" si="1"/>
        <v>80000000</v>
      </c>
      <c r="L26" s="540"/>
      <c r="M26" s="540"/>
      <c r="N26" s="540"/>
      <c r="O26" s="540"/>
    </row>
    <row r="27" spans="1:15" x14ac:dyDescent="0.2">
      <c r="A27" s="537" t="s">
        <v>545</v>
      </c>
      <c r="B27" s="537" t="s">
        <v>548</v>
      </c>
      <c r="C27" s="537" t="s">
        <v>544</v>
      </c>
      <c r="D27" s="537"/>
      <c r="E27" s="538" t="s">
        <v>77</v>
      </c>
      <c r="F27" s="539">
        <f>+F28</f>
        <v>577237301</v>
      </c>
      <c r="G27" s="540"/>
      <c r="H27" s="539">
        <f t="shared" si="0"/>
        <v>577237301</v>
      </c>
      <c r="I27" s="539">
        <f>+I28</f>
        <v>80000000</v>
      </c>
      <c r="J27" s="540"/>
      <c r="K27" s="539">
        <f t="shared" si="1"/>
        <v>80000000</v>
      </c>
      <c r="L27" s="540"/>
      <c r="M27" s="540"/>
      <c r="N27" s="540"/>
      <c r="O27" s="540"/>
    </row>
    <row r="28" spans="1:15" x14ac:dyDescent="0.2">
      <c r="A28" s="541" t="s">
        <v>545</v>
      </c>
      <c r="B28" s="541" t="s">
        <v>548</v>
      </c>
      <c r="C28" s="541" t="s">
        <v>544</v>
      </c>
      <c r="D28" s="541" t="s">
        <v>971</v>
      </c>
      <c r="E28" s="542" t="s">
        <v>1183</v>
      </c>
      <c r="F28" s="543">
        <v>577237301</v>
      </c>
      <c r="G28" s="544"/>
      <c r="H28" s="543">
        <f t="shared" si="0"/>
        <v>577237301</v>
      </c>
      <c r="I28" s="543">
        <v>80000000</v>
      </c>
      <c r="J28" s="544"/>
      <c r="K28" s="543">
        <f t="shared" si="1"/>
        <v>80000000</v>
      </c>
      <c r="L28" s="544"/>
      <c r="M28" s="544"/>
      <c r="N28" s="544"/>
      <c r="O28" s="544"/>
    </row>
    <row r="29" spans="1:15" x14ac:dyDescent="0.2">
      <c r="A29" s="537" t="s">
        <v>556</v>
      </c>
      <c r="B29" s="537"/>
      <c r="C29" s="537"/>
      <c r="D29" s="537"/>
      <c r="E29" s="538" t="s">
        <v>1184</v>
      </c>
      <c r="F29" s="539">
        <f>SUM(F30:F32)</f>
        <v>108000000</v>
      </c>
      <c r="G29" s="540"/>
      <c r="H29" s="539">
        <f t="shared" si="0"/>
        <v>108000000</v>
      </c>
      <c r="I29" s="539">
        <f>SUM(I30:I32)</f>
        <v>285000000</v>
      </c>
      <c r="J29" s="540"/>
      <c r="K29" s="539">
        <f t="shared" si="1"/>
        <v>285000000</v>
      </c>
      <c r="L29" s="540"/>
      <c r="M29" s="540"/>
      <c r="N29" s="540"/>
      <c r="O29" s="540"/>
    </row>
    <row r="30" spans="1:15" x14ac:dyDescent="0.2">
      <c r="A30" s="537" t="s">
        <v>556</v>
      </c>
      <c r="B30" s="537" t="s">
        <v>543</v>
      </c>
      <c r="C30" s="537"/>
      <c r="D30" s="537"/>
      <c r="E30" s="538" t="s">
        <v>1185</v>
      </c>
      <c r="F30" s="539">
        <v>57500000</v>
      </c>
      <c r="G30" s="540"/>
      <c r="H30" s="539">
        <f t="shared" si="0"/>
        <v>57500000</v>
      </c>
      <c r="I30" s="539">
        <v>85000000</v>
      </c>
      <c r="J30" s="540"/>
      <c r="K30" s="539">
        <f t="shared" si="1"/>
        <v>85000000</v>
      </c>
      <c r="L30" s="540"/>
      <c r="M30" s="540"/>
      <c r="N30" s="540"/>
      <c r="O30" s="540"/>
    </row>
    <row r="31" spans="1:15" x14ac:dyDescent="0.2">
      <c r="A31" s="537" t="s">
        <v>556</v>
      </c>
      <c r="B31" s="537" t="s">
        <v>545</v>
      </c>
      <c r="C31" s="537"/>
      <c r="D31" s="537"/>
      <c r="E31" s="538" t="s">
        <v>666</v>
      </c>
      <c r="F31" s="539">
        <v>500000</v>
      </c>
      <c r="G31" s="540"/>
      <c r="H31" s="539">
        <f t="shared" si="0"/>
        <v>500000</v>
      </c>
      <c r="I31" s="539">
        <v>0</v>
      </c>
      <c r="J31" s="540"/>
      <c r="K31" s="539">
        <f t="shared" si="1"/>
        <v>0</v>
      </c>
      <c r="L31" s="540"/>
      <c r="M31" s="540"/>
      <c r="N31" s="540"/>
      <c r="O31" s="540"/>
    </row>
    <row r="32" spans="1:15" x14ac:dyDescent="0.2">
      <c r="A32" s="537" t="s">
        <v>556</v>
      </c>
      <c r="B32" s="537" t="s">
        <v>548</v>
      </c>
      <c r="C32" s="537"/>
      <c r="D32" s="537"/>
      <c r="E32" s="538" t="s">
        <v>3</v>
      </c>
      <c r="F32" s="539">
        <f>+F33</f>
        <v>50000000</v>
      </c>
      <c r="G32" s="540"/>
      <c r="H32" s="539">
        <f t="shared" si="0"/>
        <v>50000000</v>
      </c>
      <c r="I32" s="539">
        <f>+I33</f>
        <v>200000000</v>
      </c>
      <c r="J32" s="540"/>
      <c r="K32" s="539">
        <f t="shared" si="1"/>
        <v>200000000</v>
      </c>
      <c r="L32" s="540"/>
      <c r="M32" s="540"/>
      <c r="N32" s="540"/>
      <c r="O32" s="540"/>
    </row>
    <row r="33" spans="1:15" x14ac:dyDescent="0.2">
      <c r="A33" s="537" t="s">
        <v>556</v>
      </c>
      <c r="B33" s="537" t="s">
        <v>548</v>
      </c>
      <c r="C33" s="537" t="s">
        <v>543</v>
      </c>
      <c r="D33" s="537"/>
      <c r="E33" s="538" t="s">
        <v>80</v>
      </c>
      <c r="F33" s="539">
        <v>50000000</v>
      </c>
      <c r="G33" s="540"/>
      <c r="H33" s="539">
        <f t="shared" si="0"/>
        <v>50000000</v>
      </c>
      <c r="I33" s="539">
        <v>200000000</v>
      </c>
      <c r="J33" s="540"/>
      <c r="K33" s="539">
        <f t="shared" si="1"/>
        <v>200000000</v>
      </c>
      <c r="L33" s="540"/>
      <c r="M33" s="540"/>
      <c r="N33" s="540"/>
      <c r="O33" s="540"/>
    </row>
    <row r="34" spans="1:15" x14ac:dyDescent="0.2">
      <c r="A34" s="537"/>
      <c r="B34" s="537"/>
      <c r="C34" s="537"/>
      <c r="D34" s="537"/>
      <c r="E34" s="406" t="s">
        <v>81</v>
      </c>
      <c r="F34" s="539">
        <f>+F13+F19+F22+F29</f>
        <v>14561729924</v>
      </c>
      <c r="G34" s="540"/>
      <c r="H34" s="539">
        <f t="shared" si="0"/>
        <v>14561729924</v>
      </c>
      <c r="I34" s="539">
        <f>+I13+I19+I22+I29</f>
        <v>24916732000</v>
      </c>
      <c r="J34" s="540"/>
      <c r="K34" s="539">
        <f t="shared" si="1"/>
        <v>24916732000</v>
      </c>
      <c r="L34" s="540"/>
      <c r="M34" s="540"/>
      <c r="N34" s="540"/>
      <c r="O34" s="540"/>
    </row>
    <row r="35" spans="1:15" x14ac:dyDescent="0.2">
      <c r="A35" s="537"/>
      <c r="B35" s="537"/>
      <c r="C35" s="537"/>
      <c r="D35" s="537"/>
      <c r="E35" s="406" t="s">
        <v>82</v>
      </c>
      <c r="F35" s="539">
        <v>17556000000</v>
      </c>
      <c r="G35" s="540"/>
      <c r="H35" s="539">
        <f t="shared" si="0"/>
        <v>17556000000</v>
      </c>
      <c r="I35" s="539">
        <v>45616066000</v>
      </c>
      <c r="J35" s="540"/>
      <c r="K35" s="539">
        <f t="shared" si="1"/>
        <v>45616066000</v>
      </c>
      <c r="L35" s="540"/>
      <c r="M35" s="540"/>
      <c r="N35" s="540"/>
      <c r="O35" s="540"/>
    </row>
    <row r="36" spans="1:15" x14ac:dyDescent="0.2">
      <c r="A36" s="545"/>
      <c r="B36" s="545"/>
      <c r="C36" s="545"/>
      <c r="D36" s="545"/>
    </row>
    <row r="37" spans="1:15" x14ac:dyDescent="0.2">
      <c r="A37" s="545"/>
      <c r="B37" s="545"/>
      <c r="C37" s="545"/>
      <c r="D37" s="545"/>
    </row>
    <row r="38" spans="1:15" x14ac:dyDescent="0.2">
      <c r="A38" s="545"/>
      <c r="B38" s="545"/>
      <c r="C38" s="545"/>
      <c r="D38" s="545"/>
    </row>
    <row r="39" spans="1:15" x14ac:dyDescent="0.2">
      <c r="A39" s="545"/>
      <c r="B39" s="545"/>
      <c r="C39" s="545"/>
      <c r="D39" s="545"/>
    </row>
    <row r="40" spans="1:15" x14ac:dyDescent="0.2">
      <c r="A40" s="545"/>
      <c r="B40" s="545"/>
      <c r="C40" s="545"/>
      <c r="D40" s="545"/>
    </row>
    <row r="41" spans="1:15" x14ac:dyDescent="0.2">
      <c r="A41" s="545"/>
      <c r="B41" s="545"/>
      <c r="C41" s="545"/>
      <c r="D41" s="545"/>
    </row>
    <row r="42" spans="1:15" x14ac:dyDescent="0.2">
      <c r="A42" s="545"/>
      <c r="B42" s="545"/>
      <c r="C42" s="545"/>
      <c r="D42" s="545"/>
    </row>
    <row r="43" spans="1:15" x14ac:dyDescent="0.2">
      <c r="A43" s="545"/>
      <c r="B43" s="545"/>
      <c r="C43" s="545"/>
      <c r="D43" s="545"/>
    </row>
    <row r="44" spans="1:15" x14ac:dyDescent="0.2">
      <c r="A44" s="545"/>
      <c r="B44" s="545"/>
      <c r="C44" s="545"/>
      <c r="D44" s="545"/>
    </row>
    <row r="45" spans="1:15" x14ac:dyDescent="0.2">
      <c r="A45" s="545"/>
      <c r="B45" s="545"/>
      <c r="C45" s="545"/>
      <c r="D45" s="545"/>
    </row>
    <row r="46" spans="1:15" x14ac:dyDescent="0.2">
      <c r="A46" s="545"/>
      <c r="B46" s="545"/>
      <c r="C46" s="545"/>
      <c r="D46" s="545"/>
    </row>
    <row r="47" spans="1:15" x14ac:dyDescent="0.2">
      <c r="A47" s="545"/>
      <c r="B47" s="545"/>
      <c r="C47" s="545"/>
      <c r="D47" s="545"/>
    </row>
    <row r="48" spans="1:15" x14ac:dyDescent="0.2">
      <c r="A48" s="545"/>
      <c r="B48" s="545"/>
      <c r="C48" s="545"/>
      <c r="D48" s="545"/>
    </row>
    <row r="49" spans="1:4" x14ac:dyDescent="0.2">
      <c r="A49" s="545"/>
      <c r="B49" s="545"/>
      <c r="C49" s="545"/>
      <c r="D49" s="545"/>
    </row>
    <row r="50" spans="1:4" x14ac:dyDescent="0.2">
      <c r="A50" s="545"/>
      <c r="B50" s="545"/>
      <c r="C50" s="545"/>
      <c r="D50" s="545"/>
    </row>
    <row r="51" spans="1:4" x14ac:dyDescent="0.2">
      <c r="A51" s="545"/>
      <c r="B51" s="545"/>
      <c r="C51" s="545"/>
      <c r="D51" s="545"/>
    </row>
    <row r="52" spans="1:4" x14ac:dyDescent="0.2">
      <c r="A52" s="545"/>
      <c r="B52" s="545"/>
      <c r="C52" s="545"/>
      <c r="D52" s="545"/>
    </row>
    <row r="53" spans="1:4" x14ac:dyDescent="0.2">
      <c r="A53" s="545"/>
      <c r="B53" s="545"/>
      <c r="C53" s="545"/>
      <c r="D53" s="545"/>
    </row>
    <row r="54" spans="1:4" x14ac:dyDescent="0.2">
      <c r="A54" s="545"/>
      <c r="B54" s="545"/>
      <c r="C54" s="545"/>
      <c r="D54" s="545"/>
    </row>
    <row r="55" spans="1:4" x14ac:dyDescent="0.2">
      <c r="A55" s="545"/>
      <c r="B55" s="545"/>
      <c r="C55" s="545"/>
      <c r="D55" s="545"/>
    </row>
    <row r="56" spans="1:4" x14ac:dyDescent="0.2">
      <c r="A56" s="545"/>
      <c r="B56" s="545"/>
      <c r="C56" s="545"/>
      <c r="D56" s="545"/>
    </row>
    <row r="57" spans="1:4" x14ac:dyDescent="0.2">
      <c r="A57" s="545"/>
      <c r="B57" s="545"/>
      <c r="C57" s="545"/>
      <c r="D57" s="545"/>
    </row>
    <row r="58" spans="1:4" x14ac:dyDescent="0.2">
      <c r="A58" s="545"/>
      <c r="B58" s="545"/>
      <c r="C58" s="545"/>
      <c r="D58" s="545"/>
    </row>
    <row r="59" spans="1:4" x14ac:dyDescent="0.2">
      <c r="A59" s="545"/>
      <c r="B59" s="545"/>
      <c r="C59" s="545"/>
      <c r="D59" s="545"/>
    </row>
    <row r="60" spans="1:4" x14ac:dyDescent="0.2">
      <c r="A60" s="545"/>
      <c r="B60" s="545"/>
      <c r="C60" s="545"/>
      <c r="D60" s="545"/>
    </row>
    <row r="61" spans="1:4" x14ac:dyDescent="0.2">
      <c r="A61" s="545"/>
      <c r="B61" s="545"/>
      <c r="C61" s="545"/>
      <c r="D61" s="545"/>
    </row>
    <row r="62" spans="1:4" x14ac:dyDescent="0.2">
      <c r="A62" s="545"/>
      <c r="B62" s="545"/>
      <c r="C62" s="545"/>
      <c r="D62" s="545"/>
    </row>
    <row r="63" spans="1:4" x14ac:dyDescent="0.2">
      <c r="A63" s="545"/>
      <c r="B63" s="545"/>
      <c r="C63" s="545"/>
      <c r="D63" s="545"/>
    </row>
    <row r="64" spans="1:4" x14ac:dyDescent="0.2">
      <c r="A64" s="545"/>
      <c r="B64" s="545"/>
      <c r="C64" s="545"/>
      <c r="D64" s="545"/>
    </row>
    <row r="65" spans="1:4" x14ac:dyDescent="0.2">
      <c r="A65" s="545"/>
      <c r="B65" s="545"/>
      <c r="C65" s="545"/>
      <c r="D65" s="545"/>
    </row>
    <row r="66" spans="1:4" x14ac:dyDescent="0.2">
      <c r="A66" s="545"/>
      <c r="B66" s="545"/>
      <c r="C66" s="545"/>
      <c r="D66" s="545"/>
    </row>
    <row r="67" spans="1:4" x14ac:dyDescent="0.2">
      <c r="A67" s="545"/>
      <c r="B67" s="545"/>
      <c r="C67" s="545"/>
      <c r="D67" s="545"/>
    </row>
    <row r="68" spans="1:4" x14ac:dyDescent="0.2">
      <c r="A68" s="545"/>
      <c r="B68" s="545"/>
      <c r="C68" s="545"/>
      <c r="D68" s="545"/>
    </row>
    <row r="69" spans="1:4" x14ac:dyDescent="0.2">
      <c r="A69" s="545"/>
      <c r="B69" s="545"/>
      <c r="C69" s="545"/>
      <c r="D69" s="545"/>
    </row>
    <row r="70" spans="1:4" x14ac:dyDescent="0.2">
      <c r="A70" s="545"/>
      <c r="B70" s="545"/>
      <c r="C70" s="545"/>
      <c r="D70" s="545"/>
    </row>
    <row r="71" spans="1:4" x14ac:dyDescent="0.2">
      <c r="A71" s="545"/>
      <c r="B71" s="545"/>
      <c r="C71" s="545"/>
      <c r="D71" s="545"/>
    </row>
    <row r="72" spans="1:4" x14ac:dyDescent="0.2">
      <c r="A72" s="545"/>
      <c r="B72" s="545"/>
      <c r="C72" s="545"/>
      <c r="D72" s="545"/>
    </row>
    <row r="73" spans="1:4" x14ac:dyDescent="0.2">
      <c r="A73" s="545"/>
      <c r="B73" s="545"/>
      <c r="C73" s="545"/>
      <c r="D73" s="545"/>
    </row>
    <row r="74" spans="1:4" x14ac:dyDescent="0.2">
      <c r="A74" s="545"/>
      <c r="B74" s="545"/>
      <c r="C74" s="545"/>
      <c r="D74" s="545"/>
    </row>
    <row r="75" spans="1:4" x14ac:dyDescent="0.2">
      <c r="A75" s="545"/>
      <c r="B75" s="545"/>
      <c r="C75" s="545"/>
      <c r="D75" s="545"/>
    </row>
    <row r="76" spans="1:4" x14ac:dyDescent="0.2">
      <c r="A76" s="545"/>
      <c r="B76" s="545"/>
      <c r="C76" s="545"/>
      <c r="D76" s="545"/>
    </row>
    <row r="77" spans="1:4" x14ac:dyDescent="0.2">
      <c r="A77" s="545"/>
      <c r="B77" s="545"/>
      <c r="C77" s="545"/>
      <c r="D77" s="545"/>
    </row>
    <row r="78" spans="1:4" x14ac:dyDescent="0.2">
      <c r="A78" s="545"/>
      <c r="B78" s="545"/>
      <c r="C78" s="545"/>
      <c r="D78" s="545"/>
    </row>
    <row r="79" spans="1:4" x14ac:dyDescent="0.2">
      <c r="A79" s="545"/>
      <c r="B79" s="545"/>
      <c r="C79" s="545"/>
      <c r="D79" s="545"/>
    </row>
    <row r="80" spans="1:4" x14ac:dyDescent="0.2">
      <c r="A80" s="545"/>
      <c r="B80" s="545"/>
      <c r="C80" s="545"/>
      <c r="D80" s="545"/>
    </row>
    <row r="81" spans="1:4" x14ac:dyDescent="0.2">
      <c r="A81" s="545"/>
      <c r="B81" s="545"/>
      <c r="C81" s="545"/>
      <c r="D81" s="545"/>
    </row>
    <row r="82" spans="1:4" x14ac:dyDescent="0.2">
      <c r="A82" s="545"/>
      <c r="B82" s="545"/>
      <c r="C82" s="545"/>
      <c r="D82" s="545"/>
    </row>
    <row r="83" spans="1:4" x14ac:dyDescent="0.2">
      <c r="A83" s="545"/>
      <c r="B83" s="545"/>
      <c r="C83" s="545"/>
      <c r="D83" s="545"/>
    </row>
    <row r="84" spans="1:4" x14ac:dyDescent="0.2">
      <c r="A84" s="545"/>
      <c r="B84" s="545"/>
      <c r="C84" s="545"/>
      <c r="D84" s="545"/>
    </row>
    <row r="85" spans="1:4" x14ac:dyDescent="0.2">
      <c r="A85" s="545"/>
      <c r="B85" s="545"/>
      <c r="C85" s="545"/>
      <c r="D85" s="545"/>
    </row>
    <row r="86" spans="1:4" x14ac:dyDescent="0.2">
      <c r="A86" s="545"/>
      <c r="B86" s="545"/>
      <c r="C86" s="545"/>
      <c r="D86" s="545"/>
    </row>
    <row r="87" spans="1:4" x14ac:dyDescent="0.2">
      <c r="A87" s="545"/>
      <c r="B87" s="545"/>
      <c r="C87" s="545"/>
      <c r="D87" s="545"/>
    </row>
    <row r="88" spans="1:4" x14ac:dyDescent="0.2">
      <c r="A88" s="545"/>
      <c r="B88" s="545"/>
      <c r="C88" s="545"/>
      <c r="D88" s="545"/>
    </row>
    <row r="89" spans="1:4" x14ac:dyDescent="0.2">
      <c r="A89" s="545"/>
      <c r="B89" s="545"/>
      <c r="C89" s="545"/>
      <c r="D89" s="545"/>
    </row>
    <row r="90" spans="1:4" x14ac:dyDescent="0.2">
      <c r="A90" s="545"/>
      <c r="B90" s="545"/>
      <c r="C90" s="545"/>
      <c r="D90" s="545"/>
    </row>
    <row r="91" spans="1:4" x14ac:dyDescent="0.2">
      <c r="A91" s="545"/>
      <c r="B91" s="545"/>
      <c r="C91" s="545"/>
      <c r="D91" s="545"/>
    </row>
    <row r="92" spans="1:4" x14ac:dyDescent="0.2">
      <c r="A92" s="545"/>
      <c r="B92" s="545"/>
      <c r="C92" s="545"/>
      <c r="D92" s="545"/>
    </row>
    <row r="93" spans="1:4" x14ac:dyDescent="0.2">
      <c r="A93" s="545"/>
      <c r="B93" s="545"/>
      <c r="C93" s="545"/>
      <c r="D93" s="545"/>
    </row>
    <row r="94" spans="1:4" x14ac:dyDescent="0.2">
      <c r="A94" s="545"/>
      <c r="B94" s="545"/>
      <c r="C94" s="545"/>
      <c r="D94" s="545"/>
    </row>
    <row r="95" spans="1:4" x14ac:dyDescent="0.2">
      <c r="A95" s="545"/>
      <c r="B95" s="545"/>
      <c r="C95" s="545"/>
      <c r="D95" s="545"/>
    </row>
    <row r="96" spans="1:4" x14ac:dyDescent="0.2">
      <c r="A96" s="545"/>
      <c r="B96" s="545"/>
      <c r="C96" s="545"/>
      <c r="D96" s="545"/>
    </row>
    <row r="97" spans="1:4" x14ac:dyDescent="0.2">
      <c r="A97" s="545"/>
      <c r="B97" s="545"/>
      <c r="C97" s="545"/>
      <c r="D97" s="545"/>
    </row>
    <row r="98" spans="1:4" x14ac:dyDescent="0.2">
      <c r="A98" s="545"/>
      <c r="B98" s="545"/>
      <c r="C98" s="545"/>
      <c r="D98" s="545"/>
    </row>
    <row r="99" spans="1:4" x14ac:dyDescent="0.2">
      <c r="A99" s="545"/>
      <c r="B99" s="545"/>
      <c r="C99" s="545"/>
      <c r="D99" s="545"/>
    </row>
    <row r="100" spans="1:4" x14ac:dyDescent="0.2">
      <c r="A100" s="545"/>
      <c r="B100" s="545"/>
      <c r="C100" s="545"/>
      <c r="D100" s="545"/>
    </row>
    <row r="101" spans="1:4" x14ac:dyDescent="0.2">
      <c r="A101" s="545"/>
      <c r="B101" s="545"/>
      <c r="C101" s="545"/>
      <c r="D101" s="545"/>
    </row>
    <row r="102" spans="1:4" x14ac:dyDescent="0.2">
      <c r="A102" s="545"/>
      <c r="B102" s="545"/>
      <c r="C102" s="545"/>
      <c r="D102" s="545"/>
    </row>
    <row r="103" spans="1:4" x14ac:dyDescent="0.2">
      <c r="A103" s="545"/>
      <c r="B103" s="545"/>
      <c r="C103" s="545"/>
      <c r="D103" s="545"/>
    </row>
    <row r="104" spans="1:4" x14ac:dyDescent="0.2">
      <c r="A104" s="545"/>
      <c r="B104" s="545"/>
      <c r="C104" s="545"/>
      <c r="D104" s="545"/>
    </row>
    <row r="105" spans="1:4" x14ac:dyDescent="0.2">
      <c r="A105" s="545"/>
      <c r="B105" s="545"/>
      <c r="C105" s="545"/>
      <c r="D105" s="545"/>
    </row>
    <row r="106" spans="1:4" x14ac:dyDescent="0.2">
      <c r="A106" s="545"/>
      <c r="B106" s="545"/>
      <c r="C106" s="545"/>
      <c r="D106" s="545"/>
    </row>
    <row r="107" spans="1:4" x14ac:dyDescent="0.2">
      <c r="A107" s="545"/>
      <c r="B107" s="545"/>
      <c r="C107" s="545"/>
      <c r="D107" s="545"/>
    </row>
    <row r="108" spans="1:4" x14ac:dyDescent="0.2">
      <c r="A108" s="545"/>
      <c r="B108" s="545"/>
      <c r="C108" s="545"/>
      <c r="D108" s="545"/>
    </row>
    <row r="109" spans="1:4" x14ac:dyDescent="0.2">
      <c r="A109" s="545"/>
      <c r="B109" s="545"/>
      <c r="C109" s="545"/>
      <c r="D109" s="545"/>
    </row>
    <row r="110" spans="1:4" x14ac:dyDescent="0.2">
      <c r="A110" s="545"/>
      <c r="B110" s="545"/>
      <c r="C110" s="545"/>
      <c r="D110" s="545"/>
    </row>
    <row r="111" spans="1:4" x14ac:dyDescent="0.2">
      <c r="A111" s="545"/>
      <c r="B111" s="545"/>
      <c r="C111" s="545"/>
      <c r="D111" s="545"/>
    </row>
    <row r="112" spans="1:4" x14ac:dyDescent="0.2">
      <c r="A112" s="545"/>
      <c r="B112" s="545"/>
      <c r="C112" s="545"/>
      <c r="D112" s="545"/>
    </row>
    <row r="113" spans="1:4" x14ac:dyDescent="0.2">
      <c r="A113" s="545"/>
      <c r="B113" s="545"/>
      <c r="C113" s="545"/>
      <c r="D113" s="545"/>
    </row>
    <row r="114" spans="1:4" x14ac:dyDescent="0.2">
      <c r="A114" s="545"/>
      <c r="B114" s="545"/>
      <c r="C114" s="545"/>
      <c r="D114" s="545"/>
    </row>
    <row r="115" spans="1:4" x14ac:dyDescent="0.2">
      <c r="A115" s="545"/>
      <c r="B115" s="545"/>
      <c r="C115" s="545"/>
      <c r="D115" s="545"/>
    </row>
    <row r="116" spans="1:4" x14ac:dyDescent="0.2">
      <c r="A116" s="545"/>
      <c r="B116" s="545"/>
      <c r="C116" s="545"/>
      <c r="D116" s="545"/>
    </row>
    <row r="117" spans="1:4" x14ac:dyDescent="0.2">
      <c r="A117" s="545"/>
      <c r="B117" s="545"/>
      <c r="C117" s="545"/>
      <c r="D117" s="545"/>
    </row>
    <row r="118" spans="1:4" x14ac:dyDescent="0.2">
      <c r="A118" s="545"/>
      <c r="B118" s="545"/>
      <c r="C118" s="545"/>
      <c r="D118" s="545"/>
    </row>
    <row r="119" spans="1:4" x14ac:dyDescent="0.2">
      <c r="A119" s="545"/>
      <c r="B119" s="545"/>
      <c r="C119" s="545"/>
      <c r="D119" s="545"/>
    </row>
    <row r="120" spans="1:4" x14ac:dyDescent="0.2">
      <c r="A120" s="545"/>
      <c r="B120" s="545"/>
      <c r="C120" s="545"/>
      <c r="D120" s="545"/>
    </row>
    <row r="121" spans="1:4" x14ac:dyDescent="0.2">
      <c r="A121" s="545"/>
      <c r="B121" s="545"/>
      <c r="C121" s="545"/>
      <c r="D121" s="545"/>
    </row>
    <row r="122" spans="1:4" x14ac:dyDescent="0.2">
      <c r="A122" s="545"/>
      <c r="B122" s="545"/>
      <c r="C122" s="545"/>
      <c r="D122" s="545"/>
    </row>
    <row r="123" spans="1:4" x14ac:dyDescent="0.2">
      <c r="A123" s="545"/>
      <c r="B123" s="545"/>
      <c r="C123" s="545"/>
      <c r="D123" s="545"/>
    </row>
    <row r="124" spans="1:4" x14ac:dyDescent="0.2">
      <c r="A124" s="545"/>
      <c r="B124" s="545"/>
      <c r="C124" s="545"/>
      <c r="D124" s="545"/>
    </row>
    <row r="125" spans="1:4" x14ac:dyDescent="0.2">
      <c r="A125" s="545"/>
      <c r="B125" s="545"/>
      <c r="C125" s="545"/>
      <c r="D125" s="545"/>
    </row>
    <row r="126" spans="1:4" x14ac:dyDescent="0.2">
      <c r="A126" s="545"/>
      <c r="B126" s="545"/>
      <c r="C126" s="545"/>
      <c r="D126" s="545"/>
    </row>
    <row r="127" spans="1:4" x14ac:dyDescent="0.2">
      <c r="A127" s="545"/>
      <c r="B127" s="545"/>
      <c r="C127" s="545"/>
      <c r="D127" s="545"/>
    </row>
    <row r="128" spans="1:4" x14ac:dyDescent="0.2">
      <c r="A128" s="545"/>
      <c r="B128" s="545"/>
      <c r="C128" s="545"/>
      <c r="D128" s="545"/>
    </row>
    <row r="129" spans="1:4" x14ac:dyDescent="0.2">
      <c r="A129" s="545"/>
      <c r="B129" s="545"/>
      <c r="C129" s="545"/>
      <c r="D129" s="545"/>
    </row>
    <row r="130" spans="1:4" x14ac:dyDescent="0.2">
      <c r="A130" s="545"/>
      <c r="B130" s="545"/>
      <c r="C130" s="545"/>
      <c r="D130" s="545"/>
    </row>
    <row r="131" spans="1:4" x14ac:dyDescent="0.2">
      <c r="A131" s="545"/>
      <c r="B131" s="545"/>
      <c r="C131" s="545"/>
      <c r="D131" s="545"/>
    </row>
    <row r="132" spans="1:4" x14ac:dyDescent="0.2">
      <c r="A132" s="545"/>
      <c r="B132" s="545"/>
      <c r="C132" s="545"/>
      <c r="D132" s="545"/>
    </row>
    <row r="133" spans="1:4" x14ac:dyDescent="0.2">
      <c r="A133" s="545"/>
      <c r="B133" s="545"/>
      <c r="C133" s="545"/>
      <c r="D133" s="545"/>
    </row>
    <row r="134" spans="1:4" x14ac:dyDescent="0.2">
      <c r="A134" s="545"/>
      <c r="B134" s="545"/>
      <c r="C134" s="545"/>
      <c r="D134" s="545"/>
    </row>
    <row r="135" spans="1:4" x14ac:dyDescent="0.2">
      <c r="A135" s="545"/>
      <c r="B135" s="545"/>
      <c r="C135" s="545"/>
      <c r="D135" s="545"/>
    </row>
    <row r="136" spans="1:4" x14ac:dyDescent="0.2">
      <c r="A136" s="545"/>
      <c r="B136" s="545"/>
      <c r="C136" s="545"/>
      <c r="D136" s="545"/>
    </row>
    <row r="137" spans="1:4" x14ac:dyDescent="0.2">
      <c r="A137" s="545"/>
      <c r="B137" s="545"/>
      <c r="C137" s="545"/>
      <c r="D137" s="545"/>
    </row>
    <row r="138" spans="1:4" x14ac:dyDescent="0.2">
      <c r="A138" s="545"/>
      <c r="B138" s="545"/>
      <c r="C138" s="545"/>
      <c r="D138" s="545"/>
    </row>
    <row r="139" spans="1:4" x14ac:dyDescent="0.2">
      <c r="A139" s="545"/>
      <c r="B139" s="545"/>
      <c r="C139" s="545"/>
      <c r="D139" s="545"/>
    </row>
    <row r="140" spans="1:4" x14ac:dyDescent="0.2">
      <c r="A140" s="545"/>
      <c r="B140" s="545"/>
      <c r="C140" s="545"/>
      <c r="D140" s="545"/>
    </row>
    <row r="141" spans="1:4" x14ac:dyDescent="0.2">
      <c r="A141" s="545"/>
      <c r="B141" s="545"/>
      <c r="C141" s="545"/>
      <c r="D141" s="545"/>
    </row>
    <row r="142" spans="1:4" x14ac:dyDescent="0.2">
      <c r="A142" s="545"/>
      <c r="B142" s="545"/>
      <c r="C142" s="545"/>
      <c r="D142" s="545"/>
    </row>
    <row r="143" spans="1:4" x14ac:dyDescent="0.2">
      <c r="A143" s="545"/>
      <c r="B143" s="545"/>
      <c r="C143" s="545"/>
      <c r="D143" s="545"/>
    </row>
    <row r="144" spans="1:4" x14ac:dyDescent="0.2">
      <c r="A144" s="545"/>
      <c r="B144" s="545"/>
      <c r="C144" s="545"/>
      <c r="D144" s="545"/>
    </row>
    <row r="145" spans="1:4" x14ac:dyDescent="0.2">
      <c r="A145" s="545"/>
      <c r="B145" s="545"/>
      <c r="C145" s="545"/>
      <c r="D145" s="545"/>
    </row>
    <row r="146" spans="1:4" x14ac:dyDescent="0.2">
      <c r="A146" s="545"/>
      <c r="B146" s="545"/>
      <c r="C146" s="545"/>
      <c r="D146" s="545"/>
    </row>
    <row r="147" spans="1:4" x14ac:dyDescent="0.2">
      <c r="A147" s="545"/>
      <c r="B147" s="545"/>
      <c r="C147" s="545"/>
      <c r="D147" s="545"/>
    </row>
    <row r="148" spans="1:4" x14ac:dyDescent="0.2">
      <c r="A148" s="545"/>
      <c r="B148" s="545"/>
      <c r="C148" s="545"/>
      <c r="D148" s="545"/>
    </row>
    <row r="149" spans="1:4" x14ac:dyDescent="0.2">
      <c r="A149" s="545"/>
      <c r="B149" s="545"/>
      <c r="C149" s="545"/>
      <c r="D149" s="545"/>
    </row>
    <row r="150" spans="1:4" x14ac:dyDescent="0.2">
      <c r="A150" s="545"/>
      <c r="B150" s="545"/>
      <c r="C150" s="545"/>
      <c r="D150" s="545"/>
    </row>
    <row r="151" spans="1:4" x14ac:dyDescent="0.2">
      <c r="A151" s="545"/>
      <c r="B151" s="545"/>
      <c r="C151" s="545"/>
      <c r="D151" s="545"/>
    </row>
    <row r="152" spans="1:4" x14ac:dyDescent="0.2">
      <c r="A152" s="545"/>
      <c r="B152" s="545"/>
      <c r="C152" s="545"/>
      <c r="D152" s="545"/>
    </row>
    <row r="153" spans="1:4" x14ac:dyDescent="0.2">
      <c r="A153" s="545"/>
      <c r="B153" s="545"/>
      <c r="C153" s="545"/>
      <c r="D153" s="545"/>
    </row>
    <row r="154" spans="1:4" x14ac:dyDescent="0.2">
      <c r="A154" s="545"/>
      <c r="B154" s="545"/>
      <c r="C154" s="545"/>
      <c r="D154" s="545"/>
    </row>
    <row r="155" spans="1:4" x14ac:dyDescent="0.2">
      <c r="A155" s="545"/>
      <c r="B155" s="545"/>
      <c r="C155" s="545"/>
      <c r="D155" s="545"/>
    </row>
    <row r="156" spans="1:4" x14ac:dyDescent="0.2">
      <c r="A156" s="545"/>
      <c r="B156" s="545"/>
      <c r="C156" s="545"/>
      <c r="D156" s="545"/>
    </row>
    <row r="157" spans="1:4" x14ac:dyDescent="0.2">
      <c r="A157" s="545"/>
      <c r="B157" s="545"/>
      <c r="C157" s="545"/>
      <c r="D157" s="545"/>
    </row>
    <row r="158" spans="1:4" x14ac:dyDescent="0.2">
      <c r="A158" s="545"/>
      <c r="B158" s="545"/>
      <c r="C158" s="545"/>
      <c r="D158" s="545"/>
    </row>
    <row r="159" spans="1:4" x14ac:dyDescent="0.2">
      <c r="A159" s="545"/>
      <c r="B159" s="545"/>
      <c r="C159" s="545"/>
      <c r="D159" s="545"/>
    </row>
    <row r="160" spans="1:4" x14ac:dyDescent="0.2">
      <c r="A160" s="545"/>
      <c r="B160" s="545"/>
      <c r="C160" s="545"/>
      <c r="D160" s="545"/>
    </row>
    <row r="161" spans="1:4" x14ac:dyDescent="0.2">
      <c r="A161" s="545"/>
      <c r="B161" s="545"/>
      <c r="C161" s="545"/>
      <c r="D161" s="545"/>
    </row>
    <row r="162" spans="1:4" x14ac:dyDescent="0.2">
      <c r="A162" s="545"/>
      <c r="B162" s="545"/>
      <c r="C162" s="545"/>
      <c r="D162" s="545"/>
    </row>
    <row r="163" spans="1:4" x14ac:dyDescent="0.2">
      <c r="A163" s="545"/>
      <c r="B163" s="545"/>
      <c r="C163" s="545"/>
      <c r="D163" s="545"/>
    </row>
    <row r="164" spans="1:4" x14ac:dyDescent="0.2">
      <c r="A164" s="545"/>
      <c r="B164" s="545"/>
      <c r="C164" s="545"/>
      <c r="D164" s="545"/>
    </row>
    <row r="165" spans="1:4" x14ac:dyDescent="0.2">
      <c r="A165" s="545"/>
      <c r="B165" s="545"/>
      <c r="C165" s="545"/>
      <c r="D165" s="545"/>
    </row>
    <row r="166" spans="1:4" x14ac:dyDescent="0.2">
      <c r="A166" s="545"/>
      <c r="B166" s="545"/>
      <c r="C166" s="545"/>
      <c r="D166" s="545"/>
    </row>
    <row r="167" spans="1:4" x14ac:dyDescent="0.2">
      <c r="A167" s="545"/>
      <c r="B167" s="545"/>
      <c r="C167" s="545"/>
      <c r="D167" s="545"/>
    </row>
    <row r="168" spans="1:4" x14ac:dyDescent="0.2">
      <c r="A168" s="545"/>
      <c r="B168" s="545"/>
      <c r="C168" s="545"/>
      <c r="D168" s="545"/>
    </row>
    <row r="169" spans="1:4" x14ac:dyDescent="0.2">
      <c r="A169" s="545"/>
      <c r="B169" s="545"/>
      <c r="C169" s="545"/>
      <c r="D169" s="545"/>
    </row>
    <row r="170" spans="1:4" x14ac:dyDescent="0.2">
      <c r="A170" s="545"/>
      <c r="B170" s="545"/>
      <c r="C170" s="545"/>
      <c r="D170" s="545"/>
    </row>
    <row r="171" spans="1:4" x14ac:dyDescent="0.2">
      <c r="A171" s="545"/>
      <c r="B171" s="545"/>
      <c r="C171" s="545"/>
      <c r="D171" s="545"/>
    </row>
    <row r="172" spans="1:4" x14ac:dyDescent="0.2">
      <c r="A172" s="545"/>
      <c r="B172" s="545"/>
      <c r="C172" s="545"/>
      <c r="D172" s="545"/>
    </row>
    <row r="173" spans="1:4" x14ac:dyDescent="0.2">
      <c r="A173" s="545"/>
      <c r="B173" s="545"/>
      <c r="C173" s="545"/>
      <c r="D173" s="545"/>
    </row>
    <row r="174" spans="1:4" x14ac:dyDescent="0.2">
      <c r="A174" s="545"/>
      <c r="B174" s="545"/>
      <c r="C174" s="545"/>
      <c r="D174" s="545"/>
    </row>
    <row r="175" spans="1:4" x14ac:dyDescent="0.2">
      <c r="A175" s="545"/>
      <c r="B175" s="545"/>
      <c r="C175" s="545"/>
      <c r="D175" s="545"/>
    </row>
    <row r="176" spans="1:4" x14ac:dyDescent="0.2">
      <c r="A176" s="545"/>
      <c r="B176" s="545"/>
      <c r="C176" s="545"/>
      <c r="D176" s="545"/>
    </row>
    <row r="177" spans="1:4" x14ac:dyDescent="0.2">
      <c r="A177" s="545"/>
      <c r="B177" s="545"/>
      <c r="C177" s="545"/>
      <c r="D177" s="545"/>
    </row>
    <row r="178" spans="1:4" x14ac:dyDescent="0.2">
      <c r="A178" s="545"/>
      <c r="B178" s="545"/>
      <c r="C178" s="545"/>
      <c r="D178" s="545"/>
    </row>
    <row r="179" spans="1:4" x14ac:dyDescent="0.2">
      <c r="A179" s="545"/>
      <c r="B179" s="545"/>
      <c r="C179" s="545"/>
      <c r="D179" s="545"/>
    </row>
    <row r="180" spans="1:4" x14ac:dyDescent="0.2">
      <c r="A180" s="545"/>
      <c r="B180" s="545"/>
      <c r="C180" s="545"/>
      <c r="D180" s="545"/>
    </row>
    <row r="181" spans="1:4" x14ac:dyDescent="0.2">
      <c r="A181" s="545"/>
      <c r="B181" s="545"/>
      <c r="C181" s="545"/>
      <c r="D181" s="545"/>
    </row>
    <row r="182" spans="1:4" x14ac:dyDescent="0.2">
      <c r="A182" s="545"/>
      <c r="B182" s="545"/>
      <c r="C182" s="545"/>
      <c r="D182" s="545"/>
    </row>
    <row r="183" spans="1:4" x14ac:dyDescent="0.2">
      <c r="A183" s="545"/>
      <c r="B183" s="545"/>
      <c r="C183" s="545"/>
      <c r="D183" s="545"/>
    </row>
    <row r="184" spans="1:4" x14ac:dyDescent="0.2">
      <c r="A184" s="545"/>
      <c r="B184" s="545"/>
      <c r="C184" s="545"/>
      <c r="D184" s="545"/>
    </row>
    <row r="185" spans="1:4" x14ac:dyDescent="0.2">
      <c r="A185" s="545"/>
      <c r="B185" s="545"/>
      <c r="C185" s="545"/>
      <c r="D185" s="545"/>
    </row>
    <row r="186" spans="1:4" x14ac:dyDescent="0.2">
      <c r="A186" s="545"/>
      <c r="B186" s="545"/>
      <c r="C186" s="545"/>
      <c r="D186" s="545"/>
    </row>
    <row r="187" spans="1:4" x14ac:dyDescent="0.2">
      <c r="A187" s="545"/>
      <c r="B187" s="545"/>
      <c r="C187" s="545"/>
      <c r="D187" s="545"/>
    </row>
    <row r="188" spans="1:4" x14ac:dyDescent="0.2">
      <c r="A188" s="545"/>
      <c r="B188" s="545"/>
      <c r="C188" s="545"/>
      <c r="D188" s="545"/>
    </row>
    <row r="189" spans="1:4" x14ac:dyDescent="0.2">
      <c r="A189" s="545"/>
      <c r="B189" s="545"/>
      <c r="C189" s="545"/>
      <c r="D189" s="545"/>
    </row>
    <row r="190" spans="1:4" x14ac:dyDescent="0.2">
      <c r="A190" s="545"/>
      <c r="B190" s="545"/>
      <c r="C190" s="545"/>
      <c r="D190" s="545"/>
    </row>
    <row r="191" spans="1:4" x14ac:dyDescent="0.2">
      <c r="A191" s="545"/>
      <c r="B191" s="545"/>
      <c r="C191" s="545"/>
      <c r="D191" s="545"/>
    </row>
    <row r="192" spans="1:4" x14ac:dyDescent="0.2">
      <c r="A192" s="545"/>
      <c r="B192" s="545"/>
      <c r="C192" s="545"/>
      <c r="D192" s="545"/>
    </row>
    <row r="193" spans="1:4" x14ac:dyDescent="0.2">
      <c r="A193" s="545"/>
      <c r="B193" s="545"/>
      <c r="C193" s="545"/>
      <c r="D193" s="545"/>
    </row>
    <row r="194" spans="1:4" x14ac:dyDescent="0.2">
      <c r="A194" s="545"/>
      <c r="B194" s="545"/>
      <c r="C194" s="545"/>
      <c r="D194" s="545"/>
    </row>
    <row r="195" spans="1:4" x14ac:dyDescent="0.2">
      <c r="A195" s="545"/>
      <c r="B195" s="545"/>
      <c r="C195" s="545"/>
      <c r="D195" s="545"/>
    </row>
    <row r="196" spans="1:4" x14ac:dyDescent="0.2">
      <c r="A196" s="545"/>
      <c r="B196" s="545"/>
      <c r="C196" s="545"/>
      <c r="D196" s="545"/>
    </row>
    <row r="197" spans="1:4" x14ac:dyDescent="0.2">
      <c r="A197" s="545"/>
      <c r="B197" s="545"/>
      <c r="C197" s="545"/>
      <c r="D197" s="545"/>
    </row>
    <row r="198" spans="1:4" x14ac:dyDescent="0.2">
      <c r="A198" s="545"/>
      <c r="B198" s="545"/>
      <c r="C198" s="545"/>
      <c r="D198" s="545"/>
    </row>
    <row r="199" spans="1:4" x14ac:dyDescent="0.2">
      <c r="A199" s="545"/>
      <c r="B199" s="545"/>
      <c r="C199" s="545"/>
      <c r="D199" s="545"/>
    </row>
    <row r="200" spans="1:4" x14ac:dyDescent="0.2">
      <c r="A200" s="545"/>
      <c r="B200" s="545"/>
      <c r="C200" s="545"/>
      <c r="D200" s="545"/>
    </row>
    <row r="201" spans="1:4" x14ac:dyDescent="0.2">
      <c r="A201" s="545"/>
      <c r="B201" s="545"/>
      <c r="C201" s="545"/>
      <c r="D201" s="545"/>
    </row>
    <row r="202" spans="1:4" x14ac:dyDescent="0.2">
      <c r="A202" s="545"/>
      <c r="B202" s="545"/>
      <c r="C202" s="545"/>
      <c r="D202" s="545"/>
    </row>
    <row r="203" spans="1:4" x14ac:dyDescent="0.2">
      <c r="A203" s="545"/>
      <c r="B203" s="545"/>
      <c r="C203" s="545"/>
      <c r="D203" s="545"/>
    </row>
    <row r="204" spans="1:4" x14ac:dyDescent="0.2">
      <c r="A204" s="545"/>
      <c r="B204" s="545"/>
      <c r="C204" s="545"/>
      <c r="D204" s="545"/>
    </row>
    <row r="205" spans="1:4" x14ac:dyDescent="0.2">
      <c r="A205" s="545"/>
      <c r="B205" s="545"/>
      <c r="C205" s="545"/>
      <c r="D205" s="545"/>
    </row>
    <row r="206" spans="1:4" x14ac:dyDescent="0.2">
      <c r="A206" s="545"/>
      <c r="B206" s="545"/>
      <c r="C206" s="545"/>
      <c r="D206" s="545"/>
    </row>
    <row r="207" spans="1:4" x14ac:dyDescent="0.2">
      <c r="A207" s="545"/>
      <c r="B207" s="545"/>
      <c r="C207" s="545"/>
      <c r="D207" s="545"/>
    </row>
    <row r="208" spans="1:4" x14ac:dyDescent="0.2">
      <c r="A208" s="545"/>
      <c r="B208" s="545"/>
      <c r="C208" s="545"/>
      <c r="D208" s="545"/>
    </row>
    <row r="209" spans="1:4" x14ac:dyDescent="0.2">
      <c r="A209" s="545"/>
      <c r="B209" s="545"/>
      <c r="C209" s="545"/>
      <c r="D209" s="545"/>
    </row>
    <row r="210" spans="1:4" x14ac:dyDescent="0.2">
      <c r="A210" s="545"/>
      <c r="B210" s="545"/>
      <c r="C210" s="545"/>
      <c r="D210" s="545"/>
    </row>
    <row r="211" spans="1:4" x14ac:dyDescent="0.2">
      <c r="A211" s="545"/>
      <c r="B211" s="545"/>
      <c r="C211" s="545"/>
      <c r="D211" s="545"/>
    </row>
    <row r="212" spans="1:4" x14ac:dyDescent="0.2">
      <c r="A212" s="545"/>
      <c r="B212" s="545"/>
      <c r="C212" s="545"/>
      <c r="D212" s="545"/>
    </row>
    <row r="213" spans="1:4" x14ac:dyDescent="0.2">
      <c r="A213" s="545"/>
      <c r="B213" s="545"/>
      <c r="C213" s="545"/>
      <c r="D213" s="545"/>
    </row>
    <row r="214" spans="1:4" x14ac:dyDescent="0.2">
      <c r="A214" s="545"/>
      <c r="B214" s="545"/>
      <c r="C214" s="545"/>
      <c r="D214" s="545"/>
    </row>
    <row r="215" spans="1:4" x14ac:dyDescent="0.2">
      <c r="A215" s="545"/>
      <c r="B215" s="545"/>
      <c r="C215" s="545"/>
      <c r="D215" s="545"/>
    </row>
    <row r="216" spans="1:4" x14ac:dyDescent="0.2">
      <c r="A216" s="545"/>
      <c r="B216" s="545"/>
      <c r="C216" s="545"/>
      <c r="D216" s="545"/>
    </row>
    <row r="217" spans="1:4" x14ac:dyDescent="0.2">
      <c r="A217" s="545"/>
      <c r="B217" s="545"/>
      <c r="C217" s="545"/>
      <c r="D217" s="545"/>
    </row>
    <row r="218" spans="1:4" x14ac:dyDescent="0.2">
      <c r="A218" s="545"/>
      <c r="B218" s="545"/>
      <c r="C218" s="545"/>
      <c r="D218" s="545"/>
    </row>
    <row r="219" spans="1:4" x14ac:dyDescent="0.2">
      <c r="A219" s="545"/>
      <c r="B219" s="545"/>
      <c r="C219" s="545"/>
      <c r="D219" s="545"/>
    </row>
    <row r="220" spans="1:4" x14ac:dyDescent="0.2">
      <c r="A220" s="545"/>
      <c r="B220" s="545"/>
      <c r="C220" s="545"/>
      <c r="D220" s="545"/>
    </row>
    <row r="221" spans="1:4" x14ac:dyDescent="0.2">
      <c r="A221" s="545"/>
      <c r="B221" s="545"/>
      <c r="C221" s="545"/>
      <c r="D221" s="545"/>
    </row>
    <row r="222" spans="1:4" x14ac:dyDescent="0.2">
      <c r="A222" s="545"/>
      <c r="B222" s="545"/>
      <c r="C222" s="545"/>
      <c r="D222" s="545"/>
    </row>
    <row r="223" spans="1:4" x14ac:dyDescent="0.2">
      <c r="A223" s="545"/>
      <c r="B223" s="545"/>
      <c r="C223" s="545"/>
      <c r="D223" s="545"/>
    </row>
    <row r="224" spans="1:4" x14ac:dyDescent="0.2">
      <c r="A224" s="545"/>
      <c r="B224" s="545"/>
      <c r="C224" s="545"/>
      <c r="D224" s="545"/>
    </row>
    <row r="225" spans="1:4" x14ac:dyDescent="0.2">
      <c r="A225" s="545"/>
      <c r="B225" s="545"/>
      <c r="C225" s="545"/>
      <c r="D225" s="545"/>
    </row>
    <row r="226" spans="1:4" x14ac:dyDescent="0.2">
      <c r="A226" s="545"/>
      <c r="B226" s="545"/>
      <c r="C226" s="545"/>
      <c r="D226" s="545"/>
    </row>
    <row r="227" spans="1:4" x14ac:dyDescent="0.2">
      <c r="A227" s="545"/>
      <c r="B227" s="545"/>
      <c r="C227" s="545"/>
      <c r="D227" s="545"/>
    </row>
    <row r="228" spans="1:4" x14ac:dyDescent="0.2">
      <c r="A228" s="545"/>
      <c r="B228" s="545"/>
      <c r="C228" s="545"/>
      <c r="D228" s="545"/>
    </row>
    <row r="229" spans="1:4" x14ac:dyDescent="0.2">
      <c r="A229" s="545"/>
      <c r="B229" s="545"/>
      <c r="C229" s="545"/>
      <c r="D229" s="545"/>
    </row>
    <row r="230" spans="1:4" x14ac:dyDescent="0.2">
      <c r="A230" s="545"/>
      <c r="B230" s="545"/>
      <c r="C230" s="545"/>
      <c r="D230" s="545"/>
    </row>
    <row r="231" spans="1:4" x14ac:dyDescent="0.2">
      <c r="A231" s="545"/>
      <c r="B231" s="545"/>
      <c r="C231" s="545"/>
      <c r="D231" s="545"/>
    </row>
    <row r="232" spans="1:4" x14ac:dyDescent="0.2">
      <c r="A232" s="545"/>
      <c r="B232" s="545"/>
      <c r="C232" s="545"/>
      <c r="D232" s="545"/>
    </row>
    <row r="233" spans="1:4" x14ac:dyDescent="0.2">
      <c r="A233" s="545"/>
      <c r="B233" s="545"/>
      <c r="C233" s="545"/>
      <c r="D233" s="545"/>
    </row>
    <row r="234" spans="1:4" x14ac:dyDescent="0.2">
      <c r="A234" s="545"/>
      <c r="B234" s="545"/>
      <c r="C234" s="545"/>
      <c r="D234" s="545"/>
    </row>
    <row r="235" spans="1:4" x14ac:dyDescent="0.2">
      <c r="A235" s="545"/>
      <c r="B235" s="545"/>
      <c r="C235" s="545"/>
      <c r="D235" s="545"/>
    </row>
    <row r="236" spans="1:4" x14ac:dyDescent="0.2">
      <c r="A236" s="545"/>
      <c r="B236" s="545"/>
      <c r="C236" s="545"/>
      <c r="D236" s="545"/>
    </row>
    <row r="237" spans="1:4" x14ac:dyDescent="0.2">
      <c r="A237" s="545"/>
      <c r="B237" s="545"/>
      <c r="C237" s="545"/>
      <c r="D237" s="545"/>
    </row>
    <row r="238" spans="1:4" x14ac:dyDescent="0.2">
      <c r="A238" s="545"/>
      <c r="B238" s="545"/>
      <c r="C238" s="545"/>
      <c r="D238" s="545"/>
    </row>
    <row r="239" spans="1:4" x14ac:dyDescent="0.2">
      <c r="A239" s="545"/>
      <c r="B239" s="545"/>
      <c r="C239" s="545"/>
      <c r="D239" s="545"/>
    </row>
    <row r="240" spans="1:4" x14ac:dyDescent="0.2">
      <c r="A240" s="545"/>
      <c r="B240" s="545"/>
      <c r="C240" s="545"/>
      <c r="D240" s="545"/>
    </row>
    <row r="241" spans="1:4" x14ac:dyDescent="0.2">
      <c r="A241" s="545"/>
      <c r="B241" s="545"/>
      <c r="C241" s="545"/>
      <c r="D241" s="545"/>
    </row>
    <row r="242" spans="1:4" x14ac:dyDescent="0.2">
      <c r="A242" s="545"/>
      <c r="B242" s="545"/>
      <c r="C242" s="545"/>
      <c r="D242" s="545"/>
    </row>
    <row r="243" spans="1:4" x14ac:dyDescent="0.2">
      <c r="A243" s="545"/>
      <c r="B243" s="545"/>
      <c r="C243" s="545"/>
      <c r="D243" s="545"/>
    </row>
    <row r="244" spans="1:4" x14ac:dyDescent="0.2">
      <c r="A244" s="545"/>
      <c r="B244" s="545"/>
      <c r="C244" s="545"/>
      <c r="D244" s="545"/>
    </row>
    <row r="245" spans="1:4" x14ac:dyDescent="0.2">
      <c r="A245" s="545"/>
      <c r="B245" s="545"/>
      <c r="C245" s="545"/>
      <c r="D245" s="545"/>
    </row>
    <row r="246" spans="1:4" x14ac:dyDescent="0.2">
      <c r="A246" s="545"/>
      <c r="B246" s="545"/>
      <c r="C246" s="545"/>
      <c r="D246" s="545"/>
    </row>
    <row r="247" spans="1:4" x14ac:dyDescent="0.2">
      <c r="A247" s="545"/>
      <c r="B247" s="545"/>
      <c r="C247" s="545"/>
      <c r="D247" s="545"/>
    </row>
    <row r="248" spans="1:4" x14ac:dyDescent="0.2">
      <c r="A248" s="545"/>
      <c r="B248" s="545"/>
      <c r="C248" s="545"/>
      <c r="D248" s="545"/>
    </row>
    <row r="249" spans="1:4" x14ac:dyDescent="0.2">
      <c r="A249" s="545"/>
      <c r="B249" s="545"/>
      <c r="C249" s="545"/>
      <c r="D249" s="545"/>
    </row>
    <row r="250" spans="1:4" x14ac:dyDescent="0.2">
      <c r="A250" s="545"/>
      <c r="B250" s="545"/>
      <c r="C250" s="545"/>
      <c r="D250" s="545"/>
    </row>
    <row r="251" spans="1:4" x14ac:dyDescent="0.2">
      <c r="A251" s="545"/>
      <c r="B251" s="545"/>
      <c r="C251" s="545"/>
      <c r="D251" s="545"/>
    </row>
    <row r="252" spans="1:4" x14ac:dyDescent="0.2">
      <c r="A252" s="545"/>
      <c r="B252" s="545"/>
      <c r="C252" s="545"/>
      <c r="D252" s="545"/>
    </row>
    <row r="253" spans="1:4" x14ac:dyDescent="0.2">
      <c r="A253" s="545"/>
      <c r="B253" s="545"/>
      <c r="C253" s="545"/>
      <c r="D253" s="545"/>
    </row>
    <row r="254" spans="1:4" x14ac:dyDescent="0.2">
      <c r="A254" s="545"/>
      <c r="B254" s="545"/>
      <c r="C254" s="545"/>
      <c r="D254" s="545"/>
    </row>
    <row r="255" spans="1:4" x14ac:dyDescent="0.2">
      <c r="A255" s="545"/>
      <c r="B255" s="545"/>
      <c r="C255" s="545"/>
      <c r="D255" s="545"/>
    </row>
    <row r="256" spans="1:4" x14ac:dyDescent="0.2">
      <c r="A256" s="545"/>
      <c r="B256" s="545"/>
      <c r="C256" s="545"/>
      <c r="D256" s="545"/>
    </row>
    <row r="257" spans="1:4" x14ac:dyDescent="0.2">
      <c r="A257" s="545"/>
      <c r="B257" s="545"/>
      <c r="C257" s="545"/>
      <c r="D257" s="545"/>
    </row>
    <row r="258" spans="1:4" x14ac:dyDescent="0.2">
      <c r="A258" s="545"/>
      <c r="B258" s="545"/>
      <c r="C258" s="545"/>
      <c r="D258" s="545"/>
    </row>
    <row r="259" spans="1:4" x14ac:dyDescent="0.2">
      <c r="A259" s="545"/>
      <c r="B259" s="545"/>
      <c r="C259" s="545"/>
      <c r="D259" s="545"/>
    </row>
    <row r="260" spans="1:4" x14ac:dyDescent="0.2">
      <c r="A260" s="545"/>
      <c r="B260" s="545"/>
      <c r="C260" s="545"/>
      <c r="D260" s="545"/>
    </row>
    <row r="261" spans="1:4" x14ac:dyDescent="0.2">
      <c r="A261" s="545"/>
      <c r="B261" s="545"/>
      <c r="C261" s="545"/>
      <c r="D261" s="545"/>
    </row>
    <row r="262" spans="1:4" x14ac:dyDescent="0.2">
      <c r="A262" s="545"/>
      <c r="B262" s="545"/>
      <c r="C262" s="545"/>
      <c r="D262" s="545"/>
    </row>
    <row r="263" spans="1:4" x14ac:dyDescent="0.2">
      <c r="A263" s="545"/>
      <c r="B263" s="545"/>
      <c r="C263" s="545"/>
      <c r="D263" s="545"/>
    </row>
    <row r="264" spans="1:4" x14ac:dyDescent="0.2">
      <c r="A264" s="545"/>
      <c r="B264" s="545"/>
      <c r="C264" s="545"/>
      <c r="D264" s="545"/>
    </row>
    <row r="265" spans="1:4" x14ac:dyDescent="0.2">
      <c r="A265" s="545"/>
      <c r="B265" s="545"/>
      <c r="C265" s="545"/>
      <c r="D265" s="545"/>
    </row>
    <row r="266" spans="1:4" x14ac:dyDescent="0.2">
      <c r="A266" s="545"/>
      <c r="B266" s="545"/>
      <c r="C266" s="545"/>
      <c r="D266" s="545"/>
    </row>
    <row r="267" spans="1:4" x14ac:dyDescent="0.2">
      <c r="A267" s="545"/>
      <c r="B267" s="545"/>
      <c r="C267" s="545"/>
      <c r="D267" s="545"/>
    </row>
    <row r="268" spans="1:4" x14ac:dyDescent="0.2">
      <c r="A268" s="545"/>
      <c r="B268" s="545"/>
      <c r="C268" s="545"/>
      <c r="D268" s="545"/>
    </row>
    <row r="269" spans="1:4" x14ac:dyDescent="0.2">
      <c r="A269" s="545"/>
      <c r="B269" s="545"/>
      <c r="C269" s="545"/>
      <c r="D269" s="545"/>
    </row>
    <row r="270" spans="1:4" x14ac:dyDescent="0.2">
      <c r="A270" s="545"/>
      <c r="B270" s="545"/>
      <c r="C270" s="545"/>
      <c r="D270" s="545"/>
    </row>
    <row r="271" spans="1:4" x14ac:dyDescent="0.2">
      <c r="A271" s="545"/>
      <c r="B271" s="545"/>
      <c r="C271" s="545"/>
      <c r="D271" s="545"/>
    </row>
    <row r="272" spans="1:4" x14ac:dyDescent="0.2">
      <c r="A272" s="545"/>
      <c r="B272" s="545"/>
      <c r="C272" s="545"/>
      <c r="D272" s="545"/>
    </row>
    <row r="273" spans="1:4" x14ac:dyDescent="0.2">
      <c r="A273" s="545"/>
      <c r="B273" s="545"/>
      <c r="C273" s="545"/>
      <c r="D273" s="545"/>
    </row>
    <row r="274" spans="1:4" x14ac:dyDescent="0.2">
      <c r="A274" s="545"/>
      <c r="B274" s="545"/>
      <c r="C274" s="545"/>
      <c r="D274" s="545"/>
    </row>
    <row r="275" spans="1:4" x14ac:dyDescent="0.2">
      <c r="A275" s="545"/>
      <c r="B275" s="545"/>
      <c r="C275" s="545"/>
      <c r="D275" s="545"/>
    </row>
    <row r="276" spans="1:4" x14ac:dyDescent="0.2">
      <c r="A276" s="545"/>
      <c r="B276" s="545"/>
      <c r="C276" s="545"/>
      <c r="D276" s="545"/>
    </row>
    <row r="277" spans="1:4" x14ac:dyDescent="0.2">
      <c r="A277" s="545"/>
      <c r="B277" s="545"/>
      <c r="C277" s="545"/>
      <c r="D277" s="545"/>
    </row>
    <row r="278" spans="1:4" x14ac:dyDescent="0.2">
      <c r="A278" s="545"/>
      <c r="B278" s="545"/>
      <c r="C278" s="545"/>
      <c r="D278" s="545"/>
    </row>
    <row r="279" spans="1:4" x14ac:dyDescent="0.2">
      <c r="A279" s="545"/>
      <c r="B279" s="545"/>
      <c r="C279" s="545"/>
      <c r="D279" s="545"/>
    </row>
    <row r="280" spans="1:4" x14ac:dyDescent="0.2">
      <c r="A280" s="545"/>
      <c r="B280" s="545"/>
      <c r="C280" s="545"/>
      <c r="D280" s="545"/>
    </row>
    <row r="281" spans="1:4" x14ac:dyDescent="0.2">
      <c r="A281" s="545"/>
      <c r="B281" s="545"/>
      <c r="C281" s="545"/>
      <c r="D281" s="545"/>
    </row>
    <row r="282" spans="1:4" x14ac:dyDescent="0.2">
      <c r="A282" s="545"/>
      <c r="B282" s="545"/>
      <c r="C282" s="545"/>
      <c r="D282" s="545"/>
    </row>
    <row r="283" spans="1:4" x14ac:dyDescent="0.2">
      <c r="A283" s="545"/>
      <c r="B283" s="545"/>
      <c r="C283" s="545"/>
      <c r="D283" s="545"/>
    </row>
    <row r="284" spans="1:4" x14ac:dyDescent="0.2">
      <c r="A284" s="545"/>
      <c r="B284" s="545"/>
      <c r="C284" s="545"/>
      <c r="D284" s="545"/>
    </row>
    <row r="285" spans="1:4" x14ac:dyDescent="0.2">
      <c r="A285" s="545"/>
      <c r="B285" s="545"/>
      <c r="C285" s="545"/>
      <c r="D285" s="545"/>
    </row>
    <row r="286" spans="1:4" x14ac:dyDescent="0.2">
      <c r="A286" s="545"/>
      <c r="B286" s="545"/>
      <c r="C286" s="545"/>
      <c r="D286" s="545"/>
    </row>
    <row r="287" spans="1:4" x14ac:dyDescent="0.2">
      <c r="A287" s="545"/>
      <c r="B287" s="545"/>
      <c r="C287" s="545"/>
      <c r="D287" s="545"/>
    </row>
  </sheetData>
  <mergeCells count="13">
    <mergeCell ref="A1:N1"/>
    <mergeCell ref="A2:N2"/>
    <mergeCell ref="A3:N3"/>
    <mergeCell ref="A10:D10"/>
    <mergeCell ref="E10:E12"/>
    <mergeCell ref="F10:H10"/>
    <mergeCell ref="I10:K10"/>
    <mergeCell ref="L10:N10"/>
    <mergeCell ref="O10:O12"/>
    <mergeCell ref="A11:A12"/>
    <mergeCell ref="B11:B12"/>
    <mergeCell ref="C11:C12"/>
    <mergeCell ref="D11:D12"/>
  </mergeCells>
  <pageMargins left="0.39370078740157483" right="0.19685039370078741" top="1.1811023622047245" bottom="0.78740157480314965" header="0.31496062992125984" footer="0.31496062992125984"/>
  <pageSetup paperSize="300" scale="9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8CC9-F2CA-485C-BE34-75A2D46091F2}">
  <sheetPr codeName="Hoja7">
    <pageSetUpPr fitToPage="1"/>
  </sheetPr>
  <dimension ref="A1:IW56"/>
  <sheetViews>
    <sheetView showGridLines="0" showRowColHeaders="0" zoomScale="80" zoomScaleNormal="80" workbookViewId="0">
      <selection activeCell="F15" sqref="F15:F16"/>
    </sheetView>
  </sheetViews>
  <sheetFormatPr baseColWidth="10" defaultColWidth="0" defaultRowHeight="12.75" x14ac:dyDescent="0.2"/>
  <cols>
    <col min="1" max="1" width="5.85546875" style="146" customWidth="1"/>
    <col min="2" max="2" width="53.140625" style="146" customWidth="1"/>
    <col min="3" max="4" width="14.85546875" style="146" customWidth="1"/>
    <col min="5" max="5" width="16.28515625" style="146" customWidth="1"/>
    <col min="6" max="17" width="14.85546875" style="146" customWidth="1"/>
    <col min="18" max="257" width="11.42578125" style="146" customWidth="1"/>
    <col min="258" max="258" width="13.28515625" style="146" customWidth="1"/>
    <col min="259" max="260" width="11.42578125" style="146" customWidth="1"/>
    <col min="261" max="261" width="15" style="146" customWidth="1"/>
    <col min="262" max="265" width="11.42578125" style="146" customWidth="1"/>
    <col min="266" max="266" width="15" style="146" customWidth="1"/>
    <col min="267" max="268" width="11.42578125" style="146" customWidth="1"/>
    <col min="269" max="269" width="13.140625" style="146" customWidth="1"/>
    <col min="270" max="270" width="11.42578125" style="146" customWidth="1"/>
    <col min="271" max="512" width="0" style="146" hidden="1"/>
    <col min="513" max="513" width="11.42578125" style="146" customWidth="1"/>
    <col min="514" max="514" width="13.28515625" style="146" customWidth="1"/>
    <col min="515" max="516" width="11.42578125" style="146" customWidth="1"/>
    <col min="517" max="517" width="15" style="146" customWidth="1"/>
    <col min="518" max="521" width="11.42578125" style="146" customWidth="1"/>
    <col min="522" max="522" width="15" style="146" customWidth="1"/>
    <col min="523" max="524" width="11.42578125" style="146" customWidth="1"/>
    <col min="525" max="525" width="13.140625" style="146" customWidth="1"/>
    <col min="526" max="526" width="11.42578125" style="146" customWidth="1"/>
    <col min="527" max="768" width="0" style="146" hidden="1"/>
    <col min="769" max="769" width="11.42578125" style="146" customWidth="1"/>
    <col min="770" max="770" width="13.28515625" style="146" customWidth="1"/>
    <col min="771" max="772" width="11.42578125" style="146" customWidth="1"/>
    <col min="773" max="773" width="15" style="146" customWidth="1"/>
    <col min="774" max="777" width="11.42578125" style="146" customWidth="1"/>
    <col min="778" max="778" width="15" style="146" customWidth="1"/>
    <col min="779" max="780" width="11.42578125" style="146" customWidth="1"/>
    <col min="781" max="781" width="13.140625" style="146" customWidth="1"/>
    <col min="782" max="782" width="11.42578125" style="146" customWidth="1"/>
    <col min="783" max="1024" width="0" style="146" hidden="1"/>
    <col min="1025" max="1025" width="11.42578125" style="146" customWidth="1"/>
    <col min="1026" max="1026" width="13.28515625" style="146" customWidth="1"/>
    <col min="1027" max="1028" width="11.42578125" style="146" customWidth="1"/>
    <col min="1029" max="1029" width="15" style="146" customWidth="1"/>
    <col min="1030" max="1033" width="11.42578125" style="146" customWidth="1"/>
    <col min="1034" max="1034" width="15" style="146" customWidth="1"/>
    <col min="1035" max="1036" width="11.42578125" style="146" customWidth="1"/>
    <col min="1037" max="1037" width="13.140625" style="146" customWidth="1"/>
    <col min="1038" max="1038" width="11.42578125" style="146" customWidth="1"/>
    <col min="1039" max="1280" width="0" style="146" hidden="1"/>
    <col min="1281" max="1281" width="11.42578125" style="146" customWidth="1"/>
    <col min="1282" max="1282" width="13.28515625" style="146" customWidth="1"/>
    <col min="1283" max="1284" width="11.42578125" style="146" customWidth="1"/>
    <col min="1285" max="1285" width="15" style="146" customWidth="1"/>
    <col min="1286" max="1289" width="11.42578125" style="146" customWidth="1"/>
    <col min="1290" max="1290" width="15" style="146" customWidth="1"/>
    <col min="1291" max="1292" width="11.42578125" style="146" customWidth="1"/>
    <col min="1293" max="1293" width="13.140625" style="146" customWidth="1"/>
    <col min="1294" max="1294" width="11.42578125" style="146" customWidth="1"/>
    <col min="1295" max="1536" width="0" style="146" hidden="1"/>
    <col min="1537" max="1537" width="11.42578125" style="146" customWidth="1"/>
    <col min="1538" max="1538" width="13.28515625" style="146" customWidth="1"/>
    <col min="1539" max="1540" width="11.42578125" style="146" customWidth="1"/>
    <col min="1541" max="1541" width="15" style="146" customWidth="1"/>
    <col min="1542" max="1545" width="11.42578125" style="146" customWidth="1"/>
    <col min="1546" max="1546" width="15" style="146" customWidth="1"/>
    <col min="1547" max="1548" width="11.42578125" style="146" customWidth="1"/>
    <col min="1549" max="1549" width="13.140625" style="146" customWidth="1"/>
    <col min="1550" max="1550" width="11.42578125" style="146" customWidth="1"/>
    <col min="1551" max="1792" width="0" style="146" hidden="1"/>
    <col min="1793" max="1793" width="11.42578125" style="146" customWidth="1"/>
    <col min="1794" max="1794" width="13.28515625" style="146" customWidth="1"/>
    <col min="1795" max="1796" width="11.42578125" style="146" customWidth="1"/>
    <col min="1797" max="1797" width="15" style="146" customWidth="1"/>
    <col min="1798" max="1801" width="11.42578125" style="146" customWidth="1"/>
    <col min="1802" max="1802" width="15" style="146" customWidth="1"/>
    <col min="1803" max="1804" width="11.42578125" style="146" customWidth="1"/>
    <col min="1805" max="1805" width="13.140625" style="146" customWidth="1"/>
    <col min="1806" max="1806" width="11.42578125" style="146" customWidth="1"/>
    <col min="1807" max="2048" width="0" style="146" hidden="1"/>
    <col min="2049" max="2049" width="11.42578125" style="146" customWidth="1"/>
    <col min="2050" max="2050" width="13.28515625" style="146" customWidth="1"/>
    <col min="2051" max="2052" width="11.42578125" style="146" customWidth="1"/>
    <col min="2053" max="2053" width="15" style="146" customWidth="1"/>
    <col min="2054" max="2057" width="11.42578125" style="146" customWidth="1"/>
    <col min="2058" max="2058" width="15" style="146" customWidth="1"/>
    <col min="2059" max="2060" width="11.42578125" style="146" customWidth="1"/>
    <col min="2061" max="2061" width="13.140625" style="146" customWidth="1"/>
    <col min="2062" max="2062" width="11.42578125" style="146" customWidth="1"/>
    <col min="2063" max="2304" width="0" style="146" hidden="1"/>
    <col min="2305" max="2305" width="11.42578125" style="146" customWidth="1"/>
    <col min="2306" max="2306" width="13.28515625" style="146" customWidth="1"/>
    <col min="2307" max="2308" width="11.42578125" style="146" customWidth="1"/>
    <col min="2309" max="2309" width="15" style="146" customWidth="1"/>
    <col min="2310" max="2313" width="11.42578125" style="146" customWidth="1"/>
    <col min="2314" max="2314" width="15" style="146" customWidth="1"/>
    <col min="2315" max="2316" width="11.42578125" style="146" customWidth="1"/>
    <col min="2317" max="2317" width="13.140625" style="146" customWidth="1"/>
    <col min="2318" max="2318" width="11.42578125" style="146" customWidth="1"/>
    <col min="2319" max="2560" width="0" style="146" hidden="1"/>
    <col min="2561" max="2561" width="11.42578125" style="146" customWidth="1"/>
    <col min="2562" max="2562" width="13.28515625" style="146" customWidth="1"/>
    <col min="2563" max="2564" width="11.42578125" style="146" customWidth="1"/>
    <col min="2565" max="2565" width="15" style="146" customWidth="1"/>
    <col min="2566" max="2569" width="11.42578125" style="146" customWidth="1"/>
    <col min="2570" max="2570" width="15" style="146" customWidth="1"/>
    <col min="2571" max="2572" width="11.42578125" style="146" customWidth="1"/>
    <col min="2573" max="2573" width="13.140625" style="146" customWidth="1"/>
    <col min="2574" max="2574" width="11.42578125" style="146" customWidth="1"/>
    <col min="2575" max="2816" width="0" style="146" hidden="1"/>
    <col min="2817" max="2817" width="11.42578125" style="146" customWidth="1"/>
    <col min="2818" max="2818" width="13.28515625" style="146" customWidth="1"/>
    <col min="2819" max="2820" width="11.42578125" style="146" customWidth="1"/>
    <col min="2821" max="2821" width="15" style="146" customWidth="1"/>
    <col min="2822" max="2825" width="11.42578125" style="146" customWidth="1"/>
    <col min="2826" max="2826" width="15" style="146" customWidth="1"/>
    <col min="2827" max="2828" width="11.42578125" style="146" customWidth="1"/>
    <col min="2829" max="2829" width="13.140625" style="146" customWidth="1"/>
    <col min="2830" max="2830" width="11.42578125" style="146" customWidth="1"/>
    <col min="2831" max="3072" width="0" style="146" hidden="1"/>
    <col min="3073" max="3073" width="11.42578125" style="146" customWidth="1"/>
    <col min="3074" max="3074" width="13.28515625" style="146" customWidth="1"/>
    <col min="3075" max="3076" width="11.42578125" style="146" customWidth="1"/>
    <col min="3077" max="3077" width="15" style="146" customWidth="1"/>
    <col min="3078" max="3081" width="11.42578125" style="146" customWidth="1"/>
    <col min="3082" max="3082" width="15" style="146" customWidth="1"/>
    <col min="3083" max="3084" width="11.42578125" style="146" customWidth="1"/>
    <col min="3085" max="3085" width="13.140625" style="146" customWidth="1"/>
    <col min="3086" max="3086" width="11.42578125" style="146" customWidth="1"/>
    <col min="3087" max="3328" width="0" style="146" hidden="1"/>
    <col min="3329" max="3329" width="11.42578125" style="146" customWidth="1"/>
    <col min="3330" max="3330" width="13.28515625" style="146" customWidth="1"/>
    <col min="3331" max="3332" width="11.42578125" style="146" customWidth="1"/>
    <col min="3333" max="3333" width="15" style="146" customWidth="1"/>
    <col min="3334" max="3337" width="11.42578125" style="146" customWidth="1"/>
    <col min="3338" max="3338" width="15" style="146" customWidth="1"/>
    <col min="3339" max="3340" width="11.42578125" style="146" customWidth="1"/>
    <col min="3341" max="3341" width="13.140625" style="146" customWidth="1"/>
    <col min="3342" max="3342" width="11.42578125" style="146" customWidth="1"/>
    <col min="3343" max="3584" width="0" style="146" hidden="1"/>
    <col min="3585" max="3585" width="11.42578125" style="146" customWidth="1"/>
    <col min="3586" max="3586" width="13.28515625" style="146" customWidth="1"/>
    <col min="3587" max="3588" width="11.42578125" style="146" customWidth="1"/>
    <col min="3589" max="3589" width="15" style="146" customWidth="1"/>
    <col min="3590" max="3593" width="11.42578125" style="146" customWidth="1"/>
    <col min="3594" max="3594" width="15" style="146" customWidth="1"/>
    <col min="3595" max="3596" width="11.42578125" style="146" customWidth="1"/>
    <col min="3597" max="3597" width="13.140625" style="146" customWidth="1"/>
    <col min="3598" max="3598" width="11.42578125" style="146" customWidth="1"/>
    <col min="3599" max="3840" width="0" style="146" hidden="1"/>
    <col min="3841" max="3841" width="11.42578125" style="146" customWidth="1"/>
    <col min="3842" max="3842" width="13.28515625" style="146" customWidth="1"/>
    <col min="3843" max="3844" width="11.42578125" style="146" customWidth="1"/>
    <col min="3845" max="3845" width="15" style="146" customWidth="1"/>
    <col min="3846" max="3849" width="11.42578125" style="146" customWidth="1"/>
    <col min="3850" max="3850" width="15" style="146" customWidth="1"/>
    <col min="3851" max="3852" width="11.42578125" style="146" customWidth="1"/>
    <col min="3853" max="3853" width="13.140625" style="146" customWidth="1"/>
    <col min="3854" max="3854" width="11.42578125" style="146" customWidth="1"/>
    <col min="3855" max="4096" width="0" style="146" hidden="1"/>
    <col min="4097" max="4097" width="11.42578125" style="146" customWidth="1"/>
    <col min="4098" max="4098" width="13.28515625" style="146" customWidth="1"/>
    <col min="4099" max="4100" width="11.42578125" style="146" customWidth="1"/>
    <col min="4101" max="4101" width="15" style="146" customWidth="1"/>
    <col min="4102" max="4105" width="11.42578125" style="146" customWidth="1"/>
    <col min="4106" max="4106" width="15" style="146" customWidth="1"/>
    <col min="4107" max="4108" width="11.42578125" style="146" customWidth="1"/>
    <col min="4109" max="4109" width="13.140625" style="146" customWidth="1"/>
    <col min="4110" max="4110" width="11.42578125" style="146" customWidth="1"/>
    <col min="4111" max="4352" width="0" style="146" hidden="1"/>
    <col min="4353" max="4353" width="11.42578125" style="146" customWidth="1"/>
    <col min="4354" max="4354" width="13.28515625" style="146" customWidth="1"/>
    <col min="4355" max="4356" width="11.42578125" style="146" customWidth="1"/>
    <col min="4357" max="4357" width="15" style="146" customWidth="1"/>
    <col min="4358" max="4361" width="11.42578125" style="146" customWidth="1"/>
    <col min="4362" max="4362" width="15" style="146" customWidth="1"/>
    <col min="4363" max="4364" width="11.42578125" style="146" customWidth="1"/>
    <col min="4365" max="4365" width="13.140625" style="146" customWidth="1"/>
    <col min="4366" max="4366" width="11.42578125" style="146" customWidth="1"/>
    <col min="4367" max="4608" width="0" style="146" hidden="1"/>
    <col min="4609" max="4609" width="11.42578125" style="146" customWidth="1"/>
    <col min="4610" max="4610" width="13.28515625" style="146" customWidth="1"/>
    <col min="4611" max="4612" width="11.42578125" style="146" customWidth="1"/>
    <col min="4613" max="4613" width="15" style="146" customWidth="1"/>
    <col min="4614" max="4617" width="11.42578125" style="146" customWidth="1"/>
    <col min="4618" max="4618" width="15" style="146" customWidth="1"/>
    <col min="4619" max="4620" width="11.42578125" style="146" customWidth="1"/>
    <col min="4621" max="4621" width="13.140625" style="146" customWidth="1"/>
    <col min="4622" max="4622" width="11.42578125" style="146" customWidth="1"/>
    <col min="4623" max="4864" width="0" style="146" hidden="1"/>
    <col min="4865" max="4865" width="11.42578125" style="146" customWidth="1"/>
    <col min="4866" max="4866" width="13.28515625" style="146" customWidth="1"/>
    <col min="4867" max="4868" width="11.42578125" style="146" customWidth="1"/>
    <col min="4869" max="4869" width="15" style="146" customWidth="1"/>
    <col min="4870" max="4873" width="11.42578125" style="146" customWidth="1"/>
    <col min="4874" max="4874" width="15" style="146" customWidth="1"/>
    <col min="4875" max="4876" width="11.42578125" style="146" customWidth="1"/>
    <col min="4877" max="4877" width="13.140625" style="146" customWidth="1"/>
    <col min="4878" max="4878" width="11.42578125" style="146" customWidth="1"/>
    <col min="4879" max="5120" width="0" style="146" hidden="1"/>
    <col min="5121" max="5121" width="11.42578125" style="146" customWidth="1"/>
    <col min="5122" max="5122" width="13.28515625" style="146" customWidth="1"/>
    <col min="5123" max="5124" width="11.42578125" style="146" customWidth="1"/>
    <col min="5125" max="5125" width="15" style="146" customWidth="1"/>
    <col min="5126" max="5129" width="11.42578125" style="146" customWidth="1"/>
    <col min="5130" max="5130" width="15" style="146" customWidth="1"/>
    <col min="5131" max="5132" width="11.42578125" style="146" customWidth="1"/>
    <col min="5133" max="5133" width="13.140625" style="146" customWidth="1"/>
    <col min="5134" max="5134" width="11.42578125" style="146" customWidth="1"/>
    <col min="5135" max="5376" width="0" style="146" hidden="1"/>
    <col min="5377" max="5377" width="11.42578125" style="146" customWidth="1"/>
    <col min="5378" max="5378" width="13.28515625" style="146" customWidth="1"/>
    <col min="5379" max="5380" width="11.42578125" style="146" customWidth="1"/>
    <col min="5381" max="5381" width="15" style="146" customWidth="1"/>
    <col min="5382" max="5385" width="11.42578125" style="146" customWidth="1"/>
    <col min="5386" max="5386" width="15" style="146" customWidth="1"/>
    <col min="5387" max="5388" width="11.42578125" style="146" customWidth="1"/>
    <col min="5389" max="5389" width="13.140625" style="146" customWidth="1"/>
    <col min="5390" max="5390" width="11.42578125" style="146" customWidth="1"/>
    <col min="5391" max="5632" width="0" style="146" hidden="1"/>
    <col min="5633" max="5633" width="11.42578125" style="146" customWidth="1"/>
    <col min="5634" max="5634" width="13.28515625" style="146" customWidth="1"/>
    <col min="5635" max="5636" width="11.42578125" style="146" customWidth="1"/>
    <col min="5637" max="5637" width="15" style="146" customWidth="1"/>
    <col min="5638" max="5641" width="11.42578125" style="146" customWidth="1"/>
    <col min="5642" max="5642" width="15" style="146" customWidth="1"/>
    <col min="5643" max="5644" width="11.42578125" style="146" customWidth="1"/>
    <col min="5645" max="5645" width="13.140625" style="146" customWidth="1"/>
    <col min="5646" max="5646" width="11.42578125" style="146" customWidth="1"/>
    <col min="5647" max="5888" width="0" style="146" hidden="1"/>
    <col min="5889" max="5889" width="11.42578125" style="146" customWidth="1"/>
    <col min="5890" max="5890" width="13.28515625" style="146" customWidth="1"/>
    <col min="5891" max="5892" width="11.42578125" style="146" customWidth="1"/>
    <col min="5893" max="5893" width="15" style="146" customWidth="1"/>
    <col min="5894" max="5897" width="11.42578125" style="146" customWidth="1"/>
    <col min="5898" max="5898" width="15" style="146" customWidth="1"/>
    <col min="5899" max="5900" width="11.42578125" style="146" customWidth="1"/>
    <col min="5901" max="5901" width="13.140625" style="146" customWidth="1"/>
    <col min="5902" max="5902" width="11.42578125" style="146" customWidth="1"/>
    <col min="5903" max="6144" width="0" style="146" hidden="1"/>
    <col min="6145" max="6145" width="11.42578125" style="146" customWidth="1"/>
    <col min="6146" max="6146" width="13.28515625" style="146" customWidth="1"/>
    <col min="6147" max="6148" width="11.42578125" style="146" customWidth="1"/>
    <col min="6149" max="6149" width="15" style="146" customWidth="1"/>
    <col min="6150" max="6153" width="11.42578125" style="146" customWidth="1"/>
    <col min="6154" max="6154" width="15" style="146" customWidth="1"/>
    <col min="6155" max="6156" width="11.42578125" style="146" customWidth="1"/>
    <col min="6157" max="6157" width="13.140625" style="146" customWidth="1"/>
    <col min="6158" max="6158" width="11.42578125" style="146" customWidth="1"/>
    <col min="6159" max="6400" width="0" style="146" hidden="1"/>
    <col min="6401" max="6401" width="11.42578125" style="146" customWidth="1"/>
    <col min="6402" max="6402" width="13.28515625" style="146" customWidth="1"/>
    <col min="6403" max="6404" width="11.42578125" style="146" customWidth="1"/>
    <col min="6405" max="6405" width="15" style="146" customWidth="1"/>
    <col min="6406" max="6409" width="11.42578125" style="146" customWidth="1"/>
    <col min="6410" max="6410" width="15" style="146" customWidth="1"/>
    <col min="6411" max="6412" width="11.42578125" style="146" customWidth="1"/>
    <col min="6413" max="6413" width="13.140625" style="146" customWidth="1"/>
    <col min="6414" max="6414" width="11.42578125" style="146" customWidth="1"/>
    <col min="6415" max="6656" width="0" style="146" hidden="1"/>
    <col min="6657" max="6657" width="11.42578125" style="146" customWidth="1"/>
    <col min="6658" max="6658" width="13.28515625" style="146" customWidth="1"/>
    <col min="6659" max="6660" width="11.42578125" style="146" customWidth="1"/>
    <col min="6661" max="6661" width="15" style="146" customWidth="1"/>
    <col min="6662" max="6665" width="11.42578125" style="146" customWidth="1"/>
    <col min="6666" max="6666" width="15" style="146" customWidth="1"/>
    <col min="6667" max="6668" width="11.42578125" style="146" customWidth="1"/>
    <col min="6669" max="6669" width="13.140625" style="146" customWidth="1"/>
    <col min="6670" max="6670" width="11.42578125" style="146" customWidth="1"/>
    <col min="6671" max="6912" width="0" style="146" hidden="1"/>
    <col min="6913" max="6913" width="11.42578125" style="146" customWidth="1"/>
    <col min="6914" max="6914" width="13.28515625" style="146" customWidth="1"/>
    <col min="6915" max="6916" width="11.42578125" style="146" customWidth="1"/>
    <col min="6917" max="6917" width="15" style="146" customWidth="1"/>
    <col min="6918" max="6921" width="11.42578125" style="146" customWidth="1"/>
    <col min="6922" max="6922" width="15" style="146" customWidth="1"/>
    <col min="6923" max="6924" width="11.42578125" style="146" customWidth="1"/>
    <col min="6925" max="6925" width="13.140625" style="146" customWidth="1"/>
    <col min="6926" max="6926" width="11.42578125" style="146" customWidth="1"/>
    <col min="6927" max="7168" width="0" style="146" hidden="1"/>
    <col min="7169" max="7169" width="11.42578125" style="146" customWidth="1"/>
    <col min="7170" max="7170" width="13.28515625" style="146" customWidth="1"/>
    <col min="7171" max="7172" width="11.42578125" style="146" customWidth="1"/>
    <col min="7173" max="7173" width="15" style="146" customWidth="1"/>
    <col min="7174" max="7177" width="11.42578125" style="146" customWidth="1"/>
    <col min="7178" max="7178" width="15" style="146" customWidth="1"/>
    <col min="7179" max="7180" width="11.42578125" style="146" customWidth="1"/>
    <col min="7181" max="7181" width="13.140625" style="146" customWidth="1"/>
    <col min="7182" max="7182" width="11.42578125" style="146" customWidth="1"/>
    <col min="7183" max="7424" width="0" style="146" hidden="1"/>
    <col min="7425" max="7425" width="11.42578125" style="146" customWidth="1"/>
    <col min="7426" max="7426" width="13.28515625" style="146" customWidth="1"/>
    <col min="7427" max="7428" width="11.42578125" style="146" customWidth="1"/>
    <col min="7429" max="7429" width="15" style="146" customWidth="1"/>
    <col min="7430" max="7433" width="11.42578125" style="146" customWidth="1"/>
    <col min="7434" max="7434" width="15" style="146" customWidth="1"/>
    <col min="7435" max="7436" width="11.42578125" style="146" customWidth="1"/>
    <col min="7437" max="7437" width="13.140625" style="146" customWidth="1"/>
    <col min="7438" max="7438" width="11.42578125" style="146" customWidth="1"/>
    <col min="7439" max="7680" width="0" style="146" hidden="1"/>
    <col min="7681" max="7681" width="11.42578125" style="146" customWidth="1"/>
    <col min="7682" max="7682" width="13.28515625" style="146" customWidth="1"/>
    <col min="7683" max="7684" width="11.42578125" style="146" customWidth="1"/>
    <col min="7685" max="7685" width="15" style="146" customWidth="1"/>
    <col min="7686" max="7689" width="11.42578125" style="146" customWidth="1"/>
    <col min="7690" max="7690" width="15" style="146" customWidth="1"/>
    <col min="7691" max="7692" width="11.42578125" style="146" customWidth="1"/>
    <col min="7693" max="7693" width="13.140625" style="146" customWidth="1"/>
    <col min="7694" max="7694" width="11.42578125" style="146" customWidth="1"/>
    <col min="7695" max="7936" width="0" style="146" hidden="1"/>
    <col min="7937" max="7937" width="11.42578125" style="146" customWidth="1"/>
    <col min="7938" max="7938" width="13.28515625" style="146" customWidth="1"/>
    <col min="7939" max="7940" width="11.42578125" style="146" customWidth="1"/>
    <col min="7941" max="7941" width="15" style="146" customWidth="1"/>
    <col min="7942" max="7945" width="11.42578125" style="146" customWidth="1"/>
    <col min="7946" max="7946" width="15" style="146" customWidth="1"/>
    <col min="7947" max="7948" width="11.42578125" style="146" customWidth="1"/>
    <col min="7949" max="7949" width="13.140625" style="146" customWidth="1"/>
    <col min="7950" max="7950" width="11.42578125" style="146" customWidth="1"/>
    <col min="7951" max="8192" width="0" style="146" hidden="1"/>
    <col min="8193" max="8193" width="11.42578125" style="146" customWidth="1"/>
    <col min="8194" max="8194" width="13.28515625" style="146" customWidth="1"/>
    <col min="8195" max="8196" width="11.42578125" style="146" customWidth="1"/>
    <col min="8197" max="8197" width="15" style="146" customWidth="1"/>
    <col min="8198" max="8201" width="11.42578125" style="146" customWidth="1"/>
    <col min="8202" max="8202" width="15" style="146" customWidth="1"/>
    <col min="8203" max="8204" width="11.42578125" style="146" customWidth="1"/>
    <col min="8205" max="8205" width="13.140625" style="146" customWidth="1"/>
    <col min="8206" max="8206" width="11.42578125" style="146" customWidth="1"/>
    <col min="8207" max="8448" width="0" style="146" hidden="1"/>
    <col min="8449" max="8449" width="11.42578125" style="146" customWidth="1"/>
    <col min="8450" max="8450" width="13.28515625" style="146" customWidth="1"/>
    <col min="8451" max="8452" width="11.42578125" style="146" customWidth="1"/>
    <col min="8453" max="8453" width="15" style="146" customWidth="1"/>
    <col min="8454" max="8457" width="11.42578125" style="146" customWidth="1"/>
    <col min="8458" max="8458" width="15" style="146" customWidth="1"/>
    <col min="8459" max="8460" width="11.42578125" style="146" customWidth="1"/>
    <col min="8461" max="8461" width="13.140625" style="146" customWidth="1"/>
    <col min="8462" max="8462" width="11.42578125" style="146" customWidth="1"/>
    <col min="8463" max="8704" width="0" style="146" hidden="1"/>
    <col min="8705" max="8705" width="11.42578125" style="146" customWidth="1"/>
    <col min="8706" max="8706" width="13.28515625" style="146" customWidth="1"/>
    <col min="8707" max="8708" width="11.42578125" style="146" customWidth="1"/>
    <col min="8709" max="8709" width="15" style="146" customWidth="1"/>
    <col min="8710" max="8713" width="11.42578125" style="146" customWidth="1"/>
    <col min="8714" max="8714" width="15" style="146" customWidth="1"/>
    <col min="8715" max="8716" width="11.42578125" style="146" customWidth="1"/>
    <col min="8717" max="8717" width="13.140625" style="146" customWidth="1"/>
    <col min="8718" max="8718" width="11.42578125" style="146" customWidth="1"/>
    <col min="8719" max="8960" width="0" style="146" hidden="1"/>
    <col min="8961" max="8961" width="11.42578125" style="146" customWidth="1"/>
    <col min="8962" max="8962" width="13.28515625" style="146" customWidth="1"/>
    <col min="8963" max="8964" width="11.42578125" style="146" customWidth="1"/>
    <col min="8965" max="8965" width="15" style="146" customWidth="1"/>
    <col min="8966" max="8969" width="11.42578125" style="146" customWidth="1"/>
    <col min="8970" max="8970" width="15" style="146" customWidth="1"/>
    <col min="8971" max="8972" width="11.42578125" style="146" customWidth="1"/>
    <col min="8973" max="8973" width="13.140625" style="146" customWidth="1"/>
    <col min="8974" max="8974" width="11.42578125" style="146" customWidth="1"/>
    <col min="8975" max="9216" width="0" style="146" hidden="1"/>
    <col min="9217" max="9217" width="11.42578125" style="146" customWidth="1"/>
    <col min="9218" max="9218" width="13.28515625" style="146" customWidth="1"/>
    <col min="9219" max="9220" width="11.42578125" style="146" customWidth="1"/>
    <col min="9221" max="9221" width="15" style="146" customWidth="1"/>
    <col min="9222" max="9225" width="11.42578125" style="146" customWidth="1"/>
    <col min="9226" max="9226" width="15" style="146" customWidth="1"/>
    <col min="9227" max="9228" width="11.42578125" style="146" customWidth="1"/>
    <col min="9229" max="9229" width="13.140625" style="146" customWidth="1"/>
    <col min="9230" max="9230" width="11.42578125" style="146" customWidth="1"/>
    <col min="9231" max="9472" width="0" style="146" hidden="1"/>
    <col min="9473" max="9473" width="11.42578125" style="146" customWidth="1"/>
    <col min="9474" max="9474" width="13.28515625" style="146" customWidth="1"/>
    <col min="9475" max="9476" width="11.42578125" style="146" customWidth="1"/>
    <col min="9477" max="9477" width="15" style="146" customWidth="1"/>
    <col min="9478" max="9481" width="11.42578125" style="146" customWidth="1"/>
    <col min="9482" max="9482" width="15" style="146" customWidth="1"/>
    <col min="9483" max="9484" width="11.42578125" style="146" customWidth="1"/>
    <col min="9485" max="9485" width="13.140625" style="146" customWidth="1"/>
    <col min="9486" max="9486" width="11.42578125" style="146" customWidth="1"/>
    <col min="9487" max="9728" width="0" style="146" hidden="1"/>
    <col min="9729" max="9729" width="11.42578125" style="146" customWidth="1"/>
    <col min="9730" max="9730" width="13.28515625" style="146" customWidth="1"/>
    <col min="9731" max="9732" width="11.42578125" style="146" customWidth="1"/>
    <col min="9733" max="9733" width="15" style="146" customWidth="1"/>
    <col min="9734" max="9737" width="11.42578125" style="146" customWidth="1"/>
    <col min="9738" max="9738" width="15" style="146" customWidth="1"/>
    <col min="9739" max="9740" width="11.42578125" style="146" customWidth="1"/>
    <col min="9741" max="9741" width="13.140625" style="146" customWidth="1"/>
    <col min="9742" max="9742" width="11.42578125" style="146" customWidth="1"/>
    <col min="9743" max="9984" width="0" style="146" hidden="1"/>
    <col min="9985" max="9985" width="11.42578125" style="146" customWidth="1"/>
    <col min="9986" max="9986" width="13.28515625" style="146" customWidth="1"/>
    <col min="9987" max="9988" width="11.42578125" style="146" customWidth="1"/>
    <col min="9989" max="9989" width="15" style="146" customWidth="1"/>
    <col min="9990" max="9993" width="11.42578125" style="146" customWidth="1"/>
    <col min="9994" max="9994" width="15" style="146" customWidth="1"/>
    <col min="9995" max="9996" width="11.42578125" style="146" customWidth="1"/>
    <col min="9997" max="9997" width="13.140625" style="146" customWidth="1"/>
    <col min="9998" max="9998" width="11.42578125" style="146" customWidth="1"/>
    <col min="9999" max="10240" width="0" style="146" hidden="1"/>
    <col min="10241" max="10241" width="11.42578125" style="146" customWidth="1"/>
    <col min="10242" max="10242" width="13.28515625" style="146" customWidth="1"/>
    <col min="10243" max="10244" width="11.42578125" style="146" customWidth="1"/>
    <col min="10245" max="10245" width="15" style="146" customWidth="1"/>
    <col min="10246" max="10249" width="11.42578125" style="146" customWidth="1"/>
    <col min="10250" max="10250" width="15" style="146" customWidth="1"/>
    <col min="10251" max="10252" width="11.42578125" style="146" customWidth="1"/>
    <col min="10253" max="10253" width="13.140625" style="146" customWidth="1"/>
    <col min="10254" max="10254" width="11.42578125" style="146" customWidth="1"/>
    <col min="10255" max="10496" width="0" style="146" hidden="1"/>
    <col min="10497" max="10497" width="11.42578125" style="146" customWidth="1"/>
    <col min="10498" max="10498" width="13.28515625" style="146" customWidth="1"/>
    <col min="10499" max="10500" width="11.42578125" style="146" customWidth="1"/>
    <col min="10501" max="10501" width="15" style="146" customWidth="1"/>
    <col min="10502" max="10505" width="11.42578125" style="146" customWidth="1"/>
    <col min="10506" max="10506" width="15" style="146" customWidth="1"/>
    <col min="10507" max="10508" width="11.42578125" style="146" customWidth="1"/>
    <col min="10509" max="10509" width="13.140625" style="146" customWidth="1"/>
    <col min="10510" max="10510" width="11.42578125" style="146" customWidth="1"/>
    <col min="10511" max="10752" width="0" style="146" hidden="1"/>
    <col min="10753" max="10753" width="11.42578125" style="146" customWidth="1"/>
    <col min="10754" max="10754" width="13.28515625" style="146" customWidth="1"/>
    <col min="10755" max="10756" width="11.42578125" style="146" customWidth="1"/>
    <col min="10757" max="10757" width="15" style="146" customWidth="1"/>
    <col min="10758" max="10761" width="11.42578125" style="146" customWidth="1"/>
    <col min="10762" max="10762" width="15" style="146" customWidth="1"/>
    <col min="10763" max="10764" width="11.42578125" style="146" customWidth="1"/>
    <col min="10765" max="10765" width="13.140625" style="146" customWidth="1"/>
    <col min="10766" max="10766" width="11.42578125" style="146" customWidth="1"/>
    <col min="10767" max="11008" width="0" style="146" hidden="1"/>
    <col min="11009" max="11009" width="11.42578125" style="146" customWidth="1"/>
    <col min="11010" max="11010" width="13.28515625" style="146" customWidth="1"/>
    <col min="11011" max="11012" width="11.42578125" style="146" customWidth="1"/>
    <col min="11013" max="11013" width="15" style="146" customWidth="1"/>
    <col min="11014" max="11017" width="11.42578125" style="146" customWidth="1"/>
    <col min="11018" max="11018" width="15" style="146" customWidth="1"/>
    <col min="11019" max="11020" width="11.42578125" style="146" customWidth="1"/>
    <col min="11021" max="11021" width="13.140625" style="146" customWidth="1"/>
    <col min="11022" max="11022" width="11.42578125" style="146" customWidth="1"/>
    <col min="11023" max="11264" width="0" style="146" hidden="1"/>
    <col min="11265" max="11265" width="11.42578125" style="146" customWidth="1"/>
    <col min="11266" max="11266" width="13.28515625" style="146" customWidth="1"/>
    <col min="11267" max="11268" width="11.42578125" style="146" customWidth="1"/>
    <col min="11269" max="11269" width="15" style="146" customWidth="1"/>
    <col min="11270" max="11273" width="11.42578125" style="146" customWidth="1"/>
    <col min="11274" max="11274" width="15" style="146" customWidth="1"/>
    <col min="11275" max="11276" width="11.42578125" style="146" customWidth="1"/>
    <col min="11277" max="11277" width="13.140625" style="146" customWidth="1"/>
    <col min="11278" max="11278" width="11.42578125" style="146" customWidth="1"/>
    <col min="11279" max="11520" width="0" style="146" hidden="1"/>
    <col min="11521" max="11521" width="11.42578125" style="146" customWidth="1"/>
    <col min="11522" max="11522" width="13.28515625" style="146" customWidth="1"/>
    <col min="11523" max="11524" width="11.42578125" style="146" customWidth="1"/>
    <col min="11525" max="11525" width="15" style="146" customWidth="1"/>
    <col min="11526" max="11529" width="11.42578125" style="146" customWidth="1"/>
    <col min="11530" max="11530" width="15" style="146" customWidth="1"/>
    <col min="11531" max="11532" width="11.42578125" style="146" customWidth="1"/>
    <col min="11533" max="11533" width="13.140625" style="146" customWidth="1"/>
    <col min="11534" max="11534" width="11.42578125" style="146" customWidth="1"/>
    <col min="11535" max="11776" width="0" style="146" hidden="1"/>
    <col min="11777" max="11777" width="11.42578125" style="146" customWidth="1"/>
    <col min="11778" max="11778" width="13.28515625" style="146" customWidth="1"/>
    <col min="11779" max="11780" width="11.42578125" style="146" customWidth="1"/>
    <col min="11781" max="11781" width="15" style="146" customWidth="1"/>
    <col min="11782" max="11785" width="11.42578125" style="146" customWidth="1"/>
    <col min="11786" max="11786" width="15" style="146" customWidth="1"/>
    <col min="11787" max="11788" width="11.42578125" style="146" customWidth="1"/>
    <col min="11789" max="11789" width="13.140625" style="146" customWidth="1"/>
    <col min="11790" max="11790" width="11.42578125" style="146" customWidth="1"/>
    <col min="11791" max="12032" width="0" style="146" hidden="1"/>
    <col min="12033" max="12033" width="11.42578125" style="146" customWidth="1"/>
    <col min="12034" max="12034" width="13.28515625" style="146" customWidth="1"/>
    <col min="12035" max="12036" width="11.42578125" style="146" customWidth="1"/>
    <col min="12037" max="12037" width="15" style="146" customWidth="1"/>
    <col min="12038" max="12041" width="11.42578125" style="146" customWidth="1"/>
    <col min="12042" max="12042" width="15" style="146" customWidth="1"/>
    <col min="12043" max="12044" width="11.42578125" style="146" customWidth="1"/>
    <col min="12045" max="12045" width="13.140625" style="146" customWidth="1"/>
    <col min="12046" max="12046" width="11.42578125" style="146" customWidth="1"/>
    <col min="12047" max="12288" width="0" style="146" hidden="1"/>
    <col min="12289" max="12289" width="11.42578125" style="146" customWidth="1"/>
    <col min="12290" max="12290" width="13.28515625" style="146" customWidth="1"/>
    <col min="12291" max="12292" width="11.42578125" style="146" customWidth="1"/>
    <col min="12293" max="12293" width="15" style="146" customWidth="1"/>
    <col min="12294" max="12297" width="11.42578125" style="146" customWidth="1"/>
    <col min="12298" max="12298" width="15" style="146" customWidth="1"/>
    <col min="12299" max="12300" width="11.42578125" style="146" customWidth="1"/>
    <col min="12301" max="12301" width="13.140625" style="146" customWidth="1"/>
    <col min="12302" max="12302" width="11.42578125" style="146" customWidth="1"/>
    <col min="12303" max="12544" width="0" style="146" hidden="1"/>
    <col min="12545" max="12545" width="11.42578125" style="146" customWidth="1"/>
    <col min="12546" max="12546" width="13.28515625" style="146" customWidth="1"/>
    <col min="12547" max="12548" width="11.42578125" style="146" customWidth="1"/>
    <col min="12549" max="12549" width="15" style="146" customWidth="1"/>
    <col min="12550" max="12553" width="11.42578125" style="146" customWidth="1"/>
    <col min="12554" max="12554" width="15" style="146" customWidth="1"/>
    <col min="12555" max="12556" width="11.42578125" style="146" customWidth="1"/>
    <col min="12557" max="12557" width="13.140625" style="146" customWidth="1"/>
    <col min="12558" max="12558" width="11.42578125" style="146" customWidth="1"/>
    <col min="12559" max="12800" width="0" style="146" hidden="1"/>
    <col min="12801" max="12801" width="11.42578125" style="146" customWidth="1"/>
    <col min="12802" max="12802" width="13.28515625" style="146" customWidth="1"/>
    <col min="12803" max="12804" width="11.42578125" style="146" customWidth="1"/>
    <col min="12805" max="12805" width="15" style="146" customWidth="1"/>
    <col min="12806" max="12809" width="11.42578125" style="146" customWidth="1"/>
    <col min="12810" max="12810" width="15" style="146" customWidth="1"/>
    <col min="12811" max="12812" width="11.42578125" style="146" customWidth="1"/>
    <col min="12813" max="12813" width="13.140625" style="146" customWidth="1"/>
    <col min="12814" max="12814" width="11.42578125" style="146" customWidth="1"/>
    <col min="12815" max="13056" width="0" style="146" hidden="1"/>
    <col min="13057" max="13057" width="11.42578125" style="146" customWidth="1"/>
    <col min="13058" max="13058" width="13.28515625" style="146" customWidth="1"/>
    <col min="13059" max="13060" width="11.42578125" style="146" customWidth="1"/>
    <col min="13061" max="13061" width="15" style="146" customWidth="1"/>
    <col min="13062" max="13065" width="11.42578125" style="146" customWidth="1"/>
    <col min="13066" max="13066" width="15" style="146" customWidth="1"/>
    <col min="13067" max="13068" width="11.42578125" style="146" customWidth="1"/>
    <col min="13069" max="13069" width="13.140625" style="146" customWidth="1"/>
    <col min="13070" max="13070" width="11.42578125" style="146" customWidth="1"/>
    <col min="13071" max="13312" width="0" style="146" hidden="1"/>
    <col min="13313" max="13313" width="11.42578125" style="146" customWidth="1"/>
    <col min="13314" max="13314" width="13.28515625" style="146" customWidth="1"/>
    <col min="13315" max="13316" width="11.42578125" style="146" customWidth="1"/>
    <col min="13317" max="13317" width="15" style="146" customWidth="1"/>
    <col min="13318" max="13321" width="11.42578125" style="146" customWidth="1"/>
    <col min="13322" max="13322" width="15" style="146" customWidth="1"/>
    <col min="13323" max="13324" width="11.42578125" style="146" customWidth="1"/>
    <col min="13325" max="13325" width="13.140625" style="146" customWidth="1"/>
    <col min="13326" max="13326" width="11.42578125" style="146" customWidth="1"/>
    <col min="13327" max="13568" width="0" style="146" hidden="1"/>
    <col min="13569" max="13569" width="11.42578125" style="146" customWidth="1"/>
    <col min="13570" max="13570" width="13.28515625" style="146" customWidth="1"/>
    <col min="13571" max="13572" width="11.42578125" style="146" customWidth="1"/>
    <col min="13573" max="13573" width="15" style="146" customWidth="1"/>
    <col min="13574" max="13577" width="11.42578125" style="146" customWidth="1"/>
    <col min="13578" max="13578" width="15" style="146" customWidth="1"/>
    <col min="13579" max="13580" width="11.42578125" style="146" customWidth="1"/>
    <col min="13581" max="13581" width="13.140625" style="146" customWidth="1"/>
    <col min="13582" max="13582" width="11.42578125" style="146" customWidth="1"/>
    <col min="13583" max="13824" width="0" style="146" hidden="1"/>
    <col min="13825" max="13825" width="11.42578125" style="146" customWidth="1"/>
    <col min="13826" max="13826" width="13.28515625" style="146" customWidth="1"/>
    <col min="13827" max="13828" width="11.42578125" style="146" customWidth="1"/>
    <col min="13829" max="13829" width="15" style="146" customWidth="1"/>
    <col min="13830" max="13833" width="11.42578125" style="146" customWidth="1"/>
    <col min="13834" max="13834" width="15" style="146" customWidth="1"/>
    <col min="13835" max="13836" width="11.42578125" style="146" customWidth="1"/>
    <col min="13837" max="13837" width="13.140625" style="146" customWidth="1"/>
    <col min="13838" max="13838" width="11.42578125" style="146" customWidth="1"/>
    <col min="13839" max="14080" width="0" style="146" hidden="1"/>
    <col min="14081" max="14081" width="11.42578125" style="146" customWidth="1"/>
    <col min="14082" max="14082" width="13.28515625" style="146" customWidth="1"/>
    <col min="14083" max="14084" width="11.42578125" style="146" customWidth="1"/>
    <col min="14085" max="14085" width="15" style="146" customWidth="1"/>
    <col min="14086" max="14089" width="11.42578125" style="146" customWidth="1"/>
    <col min="14090" max="14090" width="15" style="146" customWidth="1"/>
    <col min="14091" max="14092" width="11.42578125" style="146" customWidth="1"/>
    <col min="14093" max="14093" width="13.140625" style="146" customWidth="1"/>
    <col min="14094" max="14094" width="11.42578125" style="146" customWidth="1"/>
    <col min="14095" max="14336" width="0" style="146" hidden="1"/>
    <col min="14337" max="14337" width="11.42578125" style="146" customWidth="1"/>
    <col min="14338" max="14338" width="13.28515625" style="146" customWidth="1"/>
    <col min="14339" max="14340" width="11.42578125" style="146" customWidth="1"/>
    <col min="14341" max="14341" width="15" style="146" customWidth="1"/>
    <col min="14342" max="14345" width="11.42578125" style="146" customWidth="1"/>
    <col min="14346" max="14346" width="15" style="146" customWidth="1"/>
    <col min="14347" max="14348" width="11.42578125" style="146" customWidth="1"/>
    <col min="14349" max="14349" width="13.140625" style="146" customWidth="1"/>
    <col min="14350" max="14350" width="11.42578125" style="146" customWidth="1"/>
    <col min="14351" max="14592" width="0" style="146" hidden="1"/>
    <col min="14593" max="14593" width="11.42578125" style="146" customWidth="1"/>
    <col min="14594" max="14594" width="13.28515625" style="146" customWidth="1"/>
    <col min="14595" max="14596" width="11.42578125" style="146" customWidth="1"/>
    <col min="14597" max="14597" width="15" style="146" customWidth="1"/>
    <col min="14598" max="14601" width="11.42578125" style="146" customWidth="1"/>
    <col min="14602" max="14602" width="15" style="146" customWidth="1"/>
    <col min="14603" max="14604" width="11.42578125" style="146" customWidth="1"/>
    <col min="14605" max="14605" width="13.140625" style="146" customWidth="1"/>
    <col min="14606" max="14606" width="11.42578125" style="146" customWidth="1"/>
    <col min="14607" max="14848" width="0" style="146" hidden="1"/>
    <col min="14849" max="14849" width="11.42578125" style="146" customWidth="1"/>
    <col min="14850" max="14850" width="13.28515625" style="146" customWidth="1"/>
    <col min="14851" max="14852" width="11.42578125" style="146" customWidth="1"/>
    <col min="14853" max="14853" width="15" style="146" customWidth="1"/>
    <col min="14854" max="14857" width="11.42578125" style="146" customWidth="1"/>
    <col min="14858" max="14858" width="15" style="146" customWidth="1"/>
    <col min="14859" max="14860" width="11.42578125" style="146" customWidth="1"/>
    <col min="14861" max="14861" width="13.140625" style="146" customWidth="1"/>
    <col min="14862" max="14862" width="11.42578125" style="146" customWidth="1"/>
    <col min="14863" max="15104" width="0" style="146" hidden="1"/>
    <col min="15105" max="15105" width="11.42578125" style="146" customWidth="1"/>
    <col min="15106" max="15106" width="13.28515625" style="146" customWidth="1"/>
    <col min="15107" max="15108" width="11.42578125" style="146" customWidth="1"/>
    <col min="15109" max="15109" width="15" style="146" customWidth="1"/>
    <col min="15110" max="15113" width="11.42578125" style="146" customWidth="1"/>
    <col min="15114" max="15114" width="15" style="146" customWidth="1"/>
    <col min="15115" max="15116" width="11.42578125" style="146" customWidth="1"/>
    <col min="15117" max="15117" width="13.140625" style="146" customWidth="1"/>
    <col min="15118" max="15118" width="11.42578125" style="146" customWidth="1"/>
    <col min="15119" max="15360" width="0" style="146" hidden="1"/>
    <col min="15361" max="15361" width="11.42578125" style="146" customWidth="1"/>
    <col min="15362" max="15362" width="13.28515625" style="146" customWidth="1"/>
    <col min="15363" max="15364" width="11.42578125" style="146" customWidth="1"/>
    <col min="15365" max="15365" width="15" style="146" customWidth="1"/>
    <col min="15366" max="15369" width="11.42578125" style="146" customWidth="1"/>
    <col min="15370" max="15370" width="15" style="146" customWidth="1"/>
    <col min="15371" max="15372" width="11.42578125" style="146" customWidth="1"/>
    <col min="15373" max="15373" width="13.140625" style="146" customWidth="1"/>
    <col min="15374" max="15374" width="11.42578125" style="146" customWidth="1"/>
    <col min="15375" max="15616" width="0" style="146" hidden="1"/>
    <col min="15617" max="15617" width="11.42578125" style="146" customWidth="1"/>
    <col min="15618" max="15618" width="13.28515625" style="146" customWidth="1"/>
    <col min="15619" max="15620" width="11.42578125" style="146" customWidth="1"/>
    <col min="15621" max="15621" width="15" style="146" customWidth="1"/>
    <col min="15622" max="15625" width="11.42578125" style="146" customWidth="1"/>
    <col min="15626" max="15626" width="15" style="146" customWidth="1"/>
    <col min="15627" max="15628" width="11.42578125" style="146" customWidth="1"/>
    <col min="15629" max="15629" width="13.140625" style="146" customWidth="1"/>
    <col min="15630" max="15630" width="11.42578125" style="146" customWidth="1"/>
    <col min="15631" max="15872" width="0" style="146" hidden="1"/>
    <col min="15873" max="15873" width="11.42578125" style="146" customWidth="1"/>
    <col min="15874" max="15874" width="13.28515625" style="146" customWidth="1"/>
    <col min="15875" max="15876" width="11.42578125" style="146" customWidth="1"/>
    <col min="15877" max="15877" width="15" style="146" customWidth="1"/>
    <col min="15878" max="15881" width="11.42578125" style="146" customWidth="1"/>
    <col min="15882" max="15882" width="15" style="146" customWidth="1"/>
    <col min="15883" max="15884" width="11.42578125" style="146" customWidth="1"/>
    <col min="15885" max="15885" width="13.140625" style="146" customWidth="1"/>
    <col min="15886" max="15886" width="11.42578125" style="146" customWidth="1"/>
    <col min="15887" max="16128" width="0" style="146" hidden="1"/>
    <col min="16129" max="16129" width="11.42578125" style="146" customWidth="1"/>
    <col min="16130" max="16130" width="13.28515625" style="146" customWidth="1"/>
    <col min="16131" max="16132" width="11.42578125" style="146" customWidth="1"/>
    <col min="16133" max="16133" width="15" style="146" customWidth="1"/>
    <col min="16134" max="16137" width="11.42578125" style="146" customWidth="1"/>
    <col min="16138" max="16138" width="15" style="146" customWidth="1"/>
    <col min="16139" max="16140" width="11.42578125" style="146" customWidth="1"/>
    <col min="16141" max="16141" width="13.140625" style="146" customWidth="1"/>
    <col min="16142" max="16142" width="11.42578125" style="146" customWidth="1"/>
    <col min="16143" max="16384" width="0" style="146" hidden="1"/>
  </cols>
  <sheetData>
    <row r="1" spans="1:257" s="2" customFormat="1" ht="11.25" x14ac:dyDescent="0.2">
      <c r="A1" s="690" t="s">
        <v>0</v>
      </c>
      <c r="B1" s="690"/>
      <c r="C1" s="690"/>
      <c r="D1" s="690"/>
      <c r="E1" s="690"/>
      <c r="F1" s="690"/>
      <c r="G1" s="690"/>
      <c r="H1" s="690"/>
      <c r="I1" s="690"/>
      <c r="J1" s="690"/>
      <c r="K1" s="690"/>
      <c r="L1" s="690"/>
      <c r="M1" s="690"/>
      <c r="N1" s="690"/>
      <c r="O1" s="690"/>
      <c r="P1" s="690"/>
      <c r="Q1" s="690"/>
    </row>
    <row r="2" spans="1:257" s="2" customFormat="1" ht="11.25" x14ac:dyDescent="0.2">
      <c r="A2" s="690" t="s">
        <v>62</v>
      </c>
      <c r="B2" s="690"/>
      <c r="C2" s="690"/>
      <c r="D2" s="690"/>
      <c r="E2" s="690"/>
      <c r="F2" s="690"/>
      <c r="G2" s="690"/>
      <c r="H2" s="690"/>
      <c r="I2" s="690"/>
      <c r="J2" s="690"/>
      <c r="K2" s="690"/>
      <c r="L2" s="690"/>
      <c r="M2" s="690"/>
      <c r="N2" s="690"/>
      <c r="O2" s="690"/>
      <c r="P2" s="690"/>
      <c r="Q2" s="690"/>
    </row>
    <row r="3" spans="1:257" s="2" customFormat="1" ht="11.25" x14ac:dyDescent="0.2">
      <c r="A3" s="690" t="s">
        <v>883</v>
      </c>
      <c r="B3" s="690"/>
      <c r="C3" s="690"/>
      <c r="D3" s="690"/>
      <c r="E3" s="690"/>
      <c r="F3" s="690"/>
      <c r="G3" s="690"/>
      <c r="H3" s="690"/>
      <c r="I3" s="690"/>
      <c r="J3" s="690"/>
      <c r="K3" s="690"/>
      <c r="L3" s="690"/>
      <c r="M3" s="690"/>
      <c r="N3" s="690"/>
      <c r="O3" s="690"/>
      <c r="P3" s="690"/>
      <c r="Q3" s="690"/>
    </row>
    <row r="4" spans="1:257" x14ac:dyDescent="0.2">
      <c r="A4" s="143"/>
      <c r="B4" s="144"/>
      <c r="C4" s="145"/>
      <c r="D4" s="145"/>
      <c r="E4" s="145"/>
      <c r="F4" s="145"/>
      <c r="G4" s="145"/>
    </row>
    <row r="5" spans="1:257" s="2" customFormat="1" ht="11.25" x14ac:dyDescent="0.2">
      <c r="B5" s="854" t="s">
        <v>20</v>
      </c>
      <c r="C5" s="854"/>
      <c r="D5" s="855" t="s">
        <v>218</v>
      </c>
      <c r="E5" s="856"/>
      <c r="F5" s="856"/>
      <c r="G5" s="856"/>
      <c r="H5" s="856"/>
      <c r="I5" s="856"/>
      <c r="J5" s="856"/>
      <c r="K5" s="856"/>
      <c r="L5" s="856"/>
      <c r="M5" s="856"/>
      <c r="N5" s="856"/>
      <c r="O5" s="857"/>
    </row>
    <row r="6" spans="1:257" s="2" customFormat="1" ht="15" customHeight="1" x14ac:dyDescent="0.2">
      <c r="B6" s="858" t="s">
        <v>115</v>
      </c>
      <c r="C6" s="858"/>
      <c r="D6" s="859" t="str">
        <f>IFERROR(VLOOKUP(D5,[2]DESPLEGABLES!A1:B198,2,FALSE),"")</f>
        <v>MINISTERIO DE TECNOLOGIAS DE LA INFORMACION Y LAS COMUNICACIONES - UNIDAD ADMINISTRATIVA ESPECIAL COMISION DE REGULACION DE COMUNICACIONES</v>
      </c>
      <c r="E6" s="860"/>
      <c r="F6" s="860"/>
      <c r="G6" s="860"/>
      <c r="H6" s="860"/>
      <c r="I6" s="860"/>
      <c r="J6" s="860"/>
      <c r="K6" s="860"/>
      <c r="L6" s="860"/>
      <c r="M6" s="860"/>
      <c r="N6" s="860"/>
      <c r="O6" s="861"/>
    </row>
    <row r="7" spans="1:257" x14ac:dyDescent="0.2">
      <c r="A7" s="143"/>
      <c r="B7" s="147"/>
    </row>
    <row r="8" spans="1:257" ht="15.75" x14ac:dyDescent="0.25">
      <c r="A8" s="150"/>
      <c r="B8" s="150"/>
      <c r="C8" s="844" t="s">
        <v>913</v>
      </c>
      <c r="D8" s="845"/>
      <c r="E8" s="845"/>
      <c r="F8" s="845"/>
      <c r="G8" s="845"/>
      <c r="H8" s="845"/>
      <c r="I8" s="845"/>
      <c r="J8" s="845"/>
      <c r="K8" s="846"/>
      <c r="L8" s="403">
        <v>2020</v>
      </c>
      <c r="N8" s="248" t="s">
        <v>972</v>
      </c>
    </row>
    <row r="9" spans="1:257" ht="16.5" thickBot="1" x14ac:dyDescent="0.3">
      <c r="A9" s="150"/>
      <c r="B9" s="150"/>
      <c r="M9" s="151"/>
    </row>
    <row r="10" spans="1:257" ht="20.25" customHeight="1" thickTop="1" thickBot="1" x14ac:dyDescent="0.25">
      <c r="A10" s="847" t="s">
        <v>884</v>
      </c>
      <c r="B10" s="848"/>
      <c r="C10" s="848"/>
      <c r="D10" s="848"/>
      <c r="E10" s="849"/>
      <c r="F10" s="848" t="s">
        <v>885</v>
      </c>
      <c r="G10" s="848"/>
      <c r="H10" s="848"/>
      <c r="I10" s="848"/>
      <c r="J10" s="848"/>
      <c r="K10" s="848"/>
      <c r="L10" s="848"/>
      <c r="M10" s="848"/>
      <c r="N10" s="848"/>
      <c r="O10" s="848"/>
      <c r="P10" s="848"/>
      <c r="Q10" s="850"/>
      <c r="IW10" s="149"/>
    </row>
    <row r="11" spans="1:257" s="185" customFormat="1" ht="32.25" customHeight="1" thickTop="1" thickBot="1" x14ac:dyDescent="0.25">
      <c r="A11" s="201"/>
      <c r="B11" s="202"/>
      <c r="C11" s="851" t="s">
        <v>887</v>
      </c>
      <c r="D11" s="851"/>
      <c r="E11" s="852"/>
      <c r="F11" s="851" t="s">
        <v>888</v>
      </c>
      <c r="G11" s="851"/>
      <c r="H11" s="851"/>
      <c r="I11" s="851"/>
      <c r="J11" s="851"/>
      <c r="K11" s="851"/>
      <c r="L11" s="853"/>
      <c r="M11" s="851" t="s">
        <v>889</v>
      </c>
      <c r="N11" s="851"/>
      <c r="O11" s="853"/>
      <c r="P11" s="186" t="s">
        <v>890</v>
      </c>
      <c r="Q11" s="412"/>
    </row>
    <row r="12" spans="1:257" s="185" customFormat="1" ht="17.25" customHeight="1" thickTop="1" thickBot="1" x14ac:dyDescent="0.25">
      <c r="A12" s="211" t="s">
        <v>886</v>
      </c>
      <c r="B12" s="215" t="s">
        <v>919</v>
      </c>
      <c r="C12" s="216" t="s">
        <v>920</v>
      </c>
      <c r="D12" s="212" t="s">
        <v>921</v>
      </c>
      <c r="E12" s="217" t="s">
        <v>922</v>
      </c>
      <c r="F12" s="212" t="s">
        <v>923</v>
      </c>
      <c r="G12" s="218" t="s">
        <v>924</v>
      </c>
      <c r="H12" s="218" t="s">
        <v>925</v>
      </c>
      <c r="I12" s="218" t="s">
        <v>926</v>
      </c>
      <c r="J12" s="218" t="s">
        <v>927</v>
      </c>
      <c r="K12" s="218" t="s">
        <v>928</v>
      </c>
      <c r="L12" s="219" t="s">
        <v>929</v>
      </c>
      <c r="M12" s="212" t="s">
        <v>930</v>
      </c>
      <c r="N12" s="218" t="s">
        <v>931</v>
      </c>
      <c r="O12" s="219" t="s">
        <v>934</v>
      </c>
      <c r="P12" s="214" t="s">
        <v>932</v>
      </c>
      <c r="Q12" s="213" t="s">
        <v>933</v>
      </c>
    </row>
    <row r="13" spans="1:257" ht="67.5" customHeight="1" thickTop="1" thickBot="1" x14ac:dyDescent="0.25">
      <c r="A13" s="193" t="s">
        <v>678</v>
      </c>
      <c r="B13" s="191" t="s">
        <v>891</v>
      </c>
      <c r="C13" s="200" t="s">
        <v>892</v>
      </c>
      <c r="D13" s="197" t="s">
        <v>893</v>
      </c>
      <c r="E13" s="187" t="s">
        <v>914</v>
      </c>
      <c r="F13" s="199" t="s">
        <v>894</v>
      </c>
      <c r="G13" s="198" t="s">
        <v>895</v>
      </c>
      <c r="H13" s="197" t="s">
        <v>896</v>
      </c>
      <c r="I13" s="197" t="s">
        <v>897</v>
      </c>
      <c r="J13" s="197" t="s">
        <v>898</v>
      </c>
      <c r="K13" s="197" t="s">
        <v>899</v>
      </c>
      <c r="L13" s="188" t="s">
        <v>900</v>
      </c>
      <c r="M13" s="195" t="s">
        <v>901</v>
      </c>
      <c r="N13" s="196" t="s">
        <v>902</v>
      </c>
      <c r="O13" s="188" t="s">
        <v>903</v>
      </c>
      <c r="P13" s="189" t="s">
        <v>904</v>
      </c>
      <c r="Q13" s="190" t="s">
        <v>915</v>
      </c>
    </row>
    <row r="14" spans="1:257" ht="12.75" customHeight="1" thickBot="1" x14ac:dyDescent="0.25">
      <c r="A14" s="194" t="s">
        <v>886</v>
      </c>
      <c r="B14" s="192" t="s">
        <v>905</v>
      </c>
      <c r="C14" s="203">
        <f>+C15+C17+C23+C25+C27+C29+C31+C33</f>
        <v>24916732000</v>
      </c>
      <c r="D14" s="204">
        <f>+D15+D17+D23+D25+D27+D29+D31+D33</f>
        <v>0</v>
      </c>
      <c r="E14" s="205">
        <f>C14+D14</f>
        <v>24916732000</v>
      </c>
      <c r="F14" s="206">
        <f>F15</f>
        <v>21560922200</v>
      </c>
      <c r="G14" s="204">
        <f>G17+G21+G27</f>
        <v>2105268000</v>
      </c>
      <c r="H14" s="204">
        <f>H33</f>
        <v>0</v>
      </c>
      <c r="I14" s="204">
        <f>I23</f>
        <v>0</v>
      </c>
      <c r="J14" s="204">
        <f>J23+J25</f>
        <v>0</v>
      </c>
      <c r="K14" s="204">
        <f>K23+K31</f>
        <v>80000000</v>
      </c>
      <c r="L14" s="207">
        <f>L15+L23+L25+L33</f>
        <v>890541800</v>
      </c>
      <c r="M14" s="208">
        <f>M17+M19+M25</f>
        <v>280000000</v>
      </c>
      <c r="N14" s="209">
        <f>N21+N23+N27</f>
        <v>0</v>
      </c>
      <c r="O14" s="207">
        <f>O17+O19+O25</f>
        <v>0</v>
      </c>
      <c r="P14" s="210">
        <f>P29</f>
        <v>0</v>
      </c>
      <c r="Q14" s="207">
        <f>SUM(Q15:Q34)</f>
        <v>24916732000</v>
      </c>
    </row>
    <row r="15" spans="1:257" ht="12.75" customHeight="1" x14ac:dyDescent="0.2">
      <c r="A15" s="839">
        <v>1</v>
      </c>
      <c r="B15" s="841" t="s">
        <v>906</v>
      </c>
      <c r="C15" s="825">
        <v>22166464000</v>
      </c>
      <c r="D15" s="826"/>
      <c r="E15" s="843">
        <f>C15+D15</f>
        <v>22166464000</v>
      </c>
      <c r="F15" s="825">
        <f>22166464000-L15</f>
        <v>21560922200</v>
      </c>
      <c r="G15" s="835"/>
      <c r="H15" s="835"/>
      <c r="I15" s="835"/>
      <c r="J15" s="835"/>
      <c r="K15" s="836"/>
      <c r="L15" s="838">
        <v>605541800</v>
      </c>
      <c r="M15" s="827"/>
      <c r="N15" s="828"/>
      <c r="O15" s="818"/>
      <c r="P15" s="829"/>
      <c r="Q15" s="830">
        <f>F15+L15</f>
        <v>22166464000</v>
      </c>
    </row>
    <row r="16" spans="1:257" ht="12.75" customHeight="1" x14ac:dyDescent="0.2">
      <c r="A16" s="840"/>
      <c r="B16" s="842"/>
      <c r="C16" s="799"/>
      <c r="D16" s="794"/>
      <c r="E16" s="800"/>
      <c r="F16" s="799"/>
      <c r="G16" s="793"/>
      <c r="H16" s="793"/>
      <c r="I16" s="793"/>
      <c r="J16" s="793"/>
      <c r="K16" s="837"/>
      <c r="L16" s="811"/>
      <c r="M16" s="788"/>
      <c r="N16" s="789"/>
      <c r="O16" s="787"/>
      <c r="P16" s="804"/>
      <c r="Q16" s="791"/>
    </row>
    <row r="17" spans="1:17" ht="12.75" customHeight="1" x14ac:dyDescent="0.2">
      <c r="A17" s="777">
        <v>2</v>
      </c>
      <c r="B17" s="779" t="s">
        <v>907</v>
      </c>
      <c r="C17" s="831">
        <f>+C19+C21</f>
        <v>2385268000</v>
      </c>
      <c r="D17" s="833">
        <f>+D19+D21</f>
        <v>0</v>
      </c>
      <c r="E17" s="783">
        <f>+E19+E21</f>
        <v>2385268000</v>
      </c>
      <c r="F17" s="785"/>
      <c r="G17" s="819"/>
      <c r="H17" s="771"/>
      <c r="I17" s="771"/>
      <c r="J17" s="771"/>
      <c r="K17" s="771"/>
      <c r="L17" s="765"/>
      <c r="M17" s="805"/>
      <c r="N17" s="807"/>
      <c r="O17" s="809"/>
      <c r="P17" s="803"/>
      <c r="Q17" s="769">
        <f>G17+M17+O17</f>
        <v>0</v>
      </c>
    </row>
    <row r="18" spans="1:17" ht="12.75" customHeight="1" x14ac:dyDescent="0.2">
      <c r="A18" s="797"/>
      <c r="B18" s="798"/>
      <c r="C18" s="832"/>
      <c r="D18" s="834"/>
      <c r="E18" s="800"/>
      <c r="F18" s="792"/>
      <c r="G18" s="820"/>
      <c r="H18" s="793"/>
      <c r="I18" s="793"/>
      <c r="J18" s="793"/>
      <c r="K18" s="793"/>
      <c r="L18" s="787"/>
      <c r="M18" s="806"/>
      <c r="N18" s="808"/>
      <c r="O18" s="810"/>
      <c r="P18" s="804"/>
      <c r="Q18" s="791"/>
    </row>
    <row r="19" spans="1:17" ht="12.75" customHeight="1" x14ac:dyDescent="0.2">
      <c r="A19" s="777" t="s">
        <v>917</v>
      </c>
      <c r="B19" s="823" t="s">
        <v>76</v>
      </c>
      <c r="C19" s="781">
        <v>280000000</v>
      </c>
      <c r="D19" s="773"/>
      <c r="E19" s="783">
        <f>C19+D19</f>
        <v>280000000</v>
      </c>
      <c r="F19" s="785"/>
      <c r="G19" s="814"/>
      <c r="H19" s="410"/>
      <c r="I19" s="771"/>
      <c r="J19" s="771"/>
      <c r="K19" s="771"/>
      <c r="L19" s="765"/>
      <c r="M19" s="805">
        <v>280000000</v>
      </c>
      <c r="N19" s="807"/>
      <c r="O19" s="809"/>
      <c r="P19" s="821"/>
      <c r="Q19" s="769">
        <f>M19+O19</f>
        <v>280000000</v>
      </c>
    </row>
    <row r="20" spans="1:17" ht="12.75" customHeight="1" x14ac:dyDescent="0.2">
      <c r="A20" s="797"/>
      <c r="B20" s="824"/>
      <c r="C20" s="799"/>
      <c r="D20" s="794"/>
      <c r="E20" s="800"/>
      <c r="F20" s="792"/>
      <c r="G20" s="815"/>
      <c r="H20" s="411"/>
      <c r="I20" s="793"/>
      <c r="J20" s="793"/>
      <c r="K20" s="793"/>
      <c r="L20" s="787"/>
      <c r="M20" s="806"/>
      <c r="N20" s="808"/>
      <c r="O20" s="810"/>
      <c r="P20" s="822"/>
      <c r="Q20" s="791"/>
    </row>
    <row r="21" spans="1:17" ht="12.75" customHeight="1" x14ac:dyDescent="0.2">
      <c r="A21" s="777" t="s">
        <v>918</v>
      </c>
      <c r="B21" s="823" t="s">
        <v>90</v>
      </c>
      <c r="C21" s="825">
        <v>2105268000</v>
      </c>
      <c r="D21" s="826"/>
      <c r="E21" s="783">
        <f>C21+D21</f>
        <v>2105268000</v>
      </c>
      <c r="F21" s="785"/>
      <c r="G21" s="819">
        <v>2105268000</v>
      </c>
      <c r="H21" s="771"/>
      <c r="I21" s="771"/>
      <c r="J21" s="771"/>
      <c r="K21" s="771"/>
      <c r="L21" s="765"/>
      <c r="M21" s="816"/>
      <c r="N21" s="812">
        <v>0</v>
      </c>
      <c r="O21" s="818"/>
      <c r="P21" s="803"/>
      <c r="Q21" s="769">
        <f>G21+N21</f>
        <v>2105268000</v>
      </c>
    </row>
    <row r="22" spans="1:17" ht="12.75" customHeight="1" x14ac:dyDescent="0.2">
      <c r="A22" s="797"/>
      <c r="B22" s="824"/>
      <c r="C22" s="799"/>
      <c r="D22" s="794"/>
      <c r="E22" s="800"/>
      <c r="F22" s="792"/>
      <c r="G22" s="820"/>
      <c r="H22" s="793"/>
      <c r="I22" s="793"/>
      <c r="J22" s="793"/>
      <c r="K22" s="793"/>
      <c r="L22" s="787"/>
      <c r="M22" s="817"/>
      <c r="N22" s="813"/>
      <c r="O22" s="787"/>
      <c r="P22" s="804"/>
      <c r="Q22" s="791"/>
    </row>
    <row r="23" spans="1:17" ht="12.75" customHeight="1" x14ac:dyDescent="0.2">
      <c r="A23" s="777">
        <v>3</v>
      </c>
      <c r="B23" s="779" t="s">
        <v>908</v>
      </c>
      <c r="C23" s="781">
        <v>80000000</v>
      </c>
      <c r="D23" s="773"/>
      <c r="E23" s="783">
        <f>C23+D23</f>
        <v>80000000</v>
      </c>
      <c r="F23" s="785"/>
      <c r="G23" s="814"/>
      <c r="H23" s="771"/>
      <c r="I23" s="773"/>
      <c r="J23" s="773"/>
      <c r="K23" s="773">
        <v>80000000</v>
      </c>
      <c r="L23" s="775"/>
      <c r="M23" s="761"/>
      <c r="N23" s="812">
        <v>0</v>
      </c>
      <c r="O23" s="765"/>
      <c r="P23" s="803"/>
      <c r="Q23" s="769">
        <f>+L23+K23+J23+I23+N23</f>
        <v>80000000</v>
      </c>
    </row>
    <row r="24" spans="1:17" ht="12.75" customHeight="1" x14ac:dyDescent="0.2">
      <c r="A24" s="797"/>
      <c r="B24" s="798"/>
      <c r="C24" s="799"/>
      <c r="D24" s="794"/>
      <c r="E24" s="800"/>
      <c r="F24" s="792"/>
      <c r="G24" s="815"/>
      <c r="H24" s="793"/>
      <c r="I24" s="794"/>
      <c r="J24" s="794"/>
      <c r="K24" s="794"/>
      <c r="L24" s="811"/>
      <c r="M24" s="788"/>
      <c r="N24" s="813"/>
      <c r="O24" s="787"/>
      <c r="P24" s="804"/>
      <c r="Q24" s="791"/>
    </row>
    <row r="25" spans="1:17" ht="12.75" customHeight="1" x14ac:dyDescent="0.2">
      <c r="A25" s="777">
        <v>4</v>
      </c>
      <c r="B25" s="779" t="s">
        <v>909</v>
      </c>
      <c r="C25" s="781">
        <v>0</v>
      </c>
      <c r="D25" s="773"/>
      <c r="E25" s="783">
        <f>C25+D25</f>
        <v>0</v>
      </c>
      <c r="F25" s="785"/>
      <c r="G25" s="771"/>
      <c r="H25" s="771"/>
      <c r="I25" s="771"/>
      <c r="J25" s="773"/>
      <c r="K25" s="771"/>
      <c r="L25" s="775"/>
      <c r="M25" s="805"/>
      <c r="N25" s="807"/>
      <c r="O25" s="809"/>
      <c r="P25" s="803"/>
      <c r="Q25" s="769">
        <f>J25+L25+M25+O25</f>
        <v>0</v>
      </c>
    </row>
    <row r="26" spans="1:17" ht="12.75" customHeight="1" x14ac:dyDescent="0.2">
      <c r="A26" s="797"/>
      <c r="B26" s="798"/>
      <c r="C26" s="799"/>
      <c r="D26" s="794"/>
      <c r="E26" s="800"/>
      <c r="F26" s="792"/>
      <c r="G26" s="793"/>
      <c r="H26" s="793"/>
      <c r="I26" s="793"/>
      <c r="J26" s="794"/>
      <c r="K26" s="793"/>
      <c r="L26" s="811"/>
      <c r="M26" s="806"/>
      <c r="N26" s="808"/>
      <c r="O26" s="810"/>
      <c r="P26" s="804"/>
      <c r="Q26" s="791"/>
    </row>
    <row r="27" spans="1:17" ht="12.75" customHeight="1" x14ac:dyDescent="0.2">
      <c r="A27" s="777">
        <v>5</v>
      </c>
      <c r="B27" s="779" t="s">
        <v>910</v>
      </c>
      <c r="C27" s="781">
        <v>0</v>
      </c>
      <c r="D27" s="773"/>
      <c r="E27" s="783">
        <f>C27+D27</f>
        <v>0</v>
      </c>
      <c r="F27" s="785"/>
      <c r="G27" s="773"/>
      <c r="H27" s="771"/>
      <c r="I27" s="771"/>
      <c r="J27" s="771"/>
      <c r="K27" s="771"/>
      <c r="L27" s="765"/>
      <c r="M27" s="761"/>
      <c r="N27" s="801"/>
      <c r="O27" s="765"/>
      <c r="P27" s="803"/>
      <c r="Q27" s="769">
        <f>G27+N27</f>
        <v>0</v>
      </c>
    </row>
    <row r="28" spans="1:17" ht="12.75" customHeight="1" x14ac:dyDescent="0.2">
      <c r="A28" s="797"/>
      <c r="B28" s="798"/>
      <c r="C28" s="799"/>
      <c r="D28" s="794"/>
      <c r="E28" s="800"/>
      <c r="F28" s="792"/>
      <c r="G28" s="794"/>
      <c r="H28" s="793"/>
      <c r="I28" s="793"/>
      <c r="J28" s="793"/>
      <c r="K28" s="793"/>
      <c r="L28" s="787"/>
      <c r="M28" s="788"/>
      <c r="N28" s="802"/>
      <c r="O28" s="787"/>
      <c r="P28" s="804"/>
      <c r="Q28" s="791"/>
    </row>
    <row r="29" spans="1:17" ht="12.75" customHeight="1" x14ac:dyDescent="0.2">
      <c r="A29" s="777">
        <v>6</v>
      </c>
      <c r="B29" s="779" t="s">
        <v>911</v>
      </c>
      <c r="C29" s="781">
        <v>0</v>
      </c>
      <c r="D29" s="773"/>
      <c r="E29" s="783">
        <f>C29+D29</f>
        <v>0</v>
      </c>
      <c r="F29" s="785"/>
      <c r="G29" s="771"/>
      <c r="H29" s="771"/>
      <c r="I29" s="771"/>
      <c r="J29" s="771"/>
      <c r="K29" s="771"/>
      <c r="L29" s="765"/>
      <c r="M29" s="761"/>
      <c r="N29" s="763"/>
      <c r="O29" s="765"/>
      <c r="P29" s="795"/>
      <c r="Q29" s="769">
        <f>P29</f>
        <v>0</v>
      </c>
    </row>
    <row r="30" spans="1:17" ht="12.75" customHeight="1" x14ac:dyDescent="0.2">
      <c r="A30" s="797"/>
      <c r="B30" s="798"/>
      <c r="C30" s="799"/>
      <c r="D30" s="794"/>
      <c r="E30" s="800"/>
      <c r="F30" s="792"/>
      <c r="G30" s="793"/>
      <c r="H30" s="793"/>
      <c r="I30" s="793"/>
      <c r="J30" s="793"/>
      <c r="K30" s="793"/>
      <c r="L30" s="787"/>
      <c r="M30" s="788"/>
      <c r="N30" s="789"/>
      <c r="O30" s="787"/>
      <c r="P30" s="796"/>
      <c r="Q30" s="791"/>
    </row>
    <row r="31" spans="1:17" ht="12.75" customHeight="1" x14ac:dyDescent="0.2">
      <c r="A31" s="777">
        <v>7</v>
      </c>
      <c r="B31" s="779" t="s">
        <v>912</v>
      </c>
      <c r="C31" s="781">
        <v>0</v>
      </c>
      <c r="D31" s="773"/>
      <c r="E31" s="783">
        <f>C31+D31</f>
        <v>0</v>
      </c>
      <c r="F31" s="785"/>
      <c r="G31" s="771"/>
      <c r="H31" s="771"/>
      <c r="I31" s="771"/>
      <c r="J31" s="771"/>
      <c r="K31" s="773"/>
      <c r="L31" s="765"/>
      <c r="M31" s="761"/>
      <c r="N31" s="763"/>
      <c r="O31" s="765"/>
      <c r="P31" s="767"/>
      <c r="Q31" s="769">
        <f>K31</f>
        <v>0</v>
      </c>
    </row>
    <row r="32" spans="1:17" ht="12.75" customHeight="1" x14ac:dyDescent="0.2">
      <c r="A32" s="797"/>
      <c r="B32" s="798"/>
      <c r="C32" s="799"/>
      <c r="D32" s="794"/>
      <c r="E32" s="800"/>
      <c r="F32" s="792"/>
      <c r="G32" s="793"/>
      <c r="H32" s="793"/>
      <c r="I32" s="793"/>
      <c r="J32" s="793"/>
      <c r="K32" s="794"/>
      <c r="L32" s="787"/>
      <c r="M32" s="788"/>
      <c r="N32" s="789"/>
      <c r="O32" s="787"/>
      <c r="P32" s="790"/>
      <c r="Q32" s="791"/>
    </row>
    <row r="33" spans="1:17" ht="12.75" customHeight="1" x14ac:dyDescent="0.2">
      <c r="A33" s="777">
        <v>8</v>
      </c>
      <c r="B33" s="779" t="s">
        <v>916</v>
      </c>
      <c r="C33" s="781">
        <v>285000000</v>
      </c>
      <c r="D33" s="773"/>
      <c r="E33" s="783">
        <f>C33+D33</f>
        <v>285000000</v>
      </c>
      <c r="F33" s="785"/>
      <c r="G33" s="771"/>
      <c r="H33" s="773"/>
      <c r="I33" s="771"/>
      <c r="J33" s="771"/>
      <c r="K33" s="771"/>
      <c r="L33" s="775">
        <v>285000000</v>
      </c>
      <c r="M33" s="761"/>
      <c r="N33" s="763"/>
      <c r="O33" s="765"/>
      <c r="P33" s="767"/>
      <c r="Q33" s="769">
        <f>H33+L33</f>
        <v>285000000</v>
      </c>
    </row>
    <row r="34" spans="1:17" ht="12.75" customHeight="1" thickBot="1" x14ac:dyDescent="0.25">
      <c r="A34" s="778"/>
      <c r="B34" s="780"/>
      <c r="C34" s="782"/>
      <c r="D34" s="774"/>
      <c r="E34" s="784"/>
      <c r="F34" s="786"/>
      <c r="G34" s="772"/>
      <c r="H34" s="774"/>
      <c r="I34" s="772"/>
      <c r="J34" s="772"/>
      <c r="K34" s="772"/>
      <c r="L34" s="776"/>
      <c r="M34" s="762"/>
      <c r="N34" s="764"/>
      <c r="O34" s="766"/>
      <c r="P34" s="768"/>
      <c r="Q34" s="770"/>
    </row>
    <row r="35" spans="1:17" ht="12.75" customHeight="1" thickTop="1" x14ac:dyDescent="0.2"/>
    <row r="36" spans="1:17" ht="12.75" customHeight="1" x14ac:dyDescent="0.2"/>
    <row r="37" spans="1:17" customFormat="1" ht="15" x14ac:dyDescent="0.25">
      <c r="A37" s="222" t="s">
        <v>935</v>
      </c>
      <c r="B37" s="222"/>
      <c r="C37" s="222"/>
      <c r="D37" s="222"/>
      <c r="E37" s="222"/>
      <c r="F37" s="223"/>
      <c r="G37" s="222"/>
      <c r="H37" s="222"/>
      <c r="I37" s="222"/>
      <c r="J37" s="222"/>
      <c r="K37" s="222"/>
      <c r="L37" s="222"/>
      <c r="M37" s="222"/>
      <c r="N37" s="222"/>
      <c r="O37" s="222"/>
      <c r="P37" s="222"/>
      <c r="Q37" s="222"/>
    </row>
    <row r="38" spans="1:17" customFormat="1" ht="15" x14ac:dyDescent="0.25">
      <c r="A38" s="224" t="s">
        <v>940</v>
      </c>
      <c r="B38" s="225"/>
      <c r="C38" s="226"/>
      <c r="D38" s="226"/>
      <c r="E38" s="226"/>
      <c r="F38" s="227"/>
      <c r="G38" s="226"/>
      <c r="H38" s="226"/>
      <c r="I38" s="226"/>
      <c r="J38" s="226"/>
      <c r="K38" s="226"/>
      <c r="L38" s="226"/>
      <c r="M38" s="226"/>
      <c r="N38" s="226"/>
      <c r="O38" s="226"/>
      <c r="P38" s="226"/>
      <c r="Q38" s="228"/>
    </row>
    <row r="39" spans="1:17" customFormat="1" ht="15" x14ac:dyDescent="0.25">
      <c r="A39" s="229" t="s">
        <v>936</v>
      </c>
      <c r="C39" s="220"/>
      <c r="D39" s="220"/>
      <c r="E39" s="220"/>
      <c r="F39" s="221"/>
      <c r="G39" s="220"/>
      <c r="H39" s="220"/>
      <c r="I39" s="220"/>
      <c r="J39" s="220"/>
      <c r="K39" s="220"/>
      <c r="L39" s="220"/>
      <c r="M39" s="220"/>
      <c r="N39" s="220"/>
      <c r="O39" s="220"/>
      <c r="P39" s="220"/>
      <c r="Q39" s="230"/>
    </row>
    <row r="40" spans="1:17" customFormat="1" ht="15" x14ac:dyDescent="0.25">
      <c r="A40" s="229" t="s">
        <v>937</v>
      </c>
      <c r="C40" s="220"/>
      <c r="D40" s="220"/>
      <c r="E40" s="220"/>
      <c r="F40" s="221"/>
      <c r="G40" s="220"/>
      <c r="H40" s="220"/>
      <c r="I40" s="220"/>
      <c r="J40" s="220"/>
      <c r="K40" s="220"/>
      <c r="L40" s="220"/>
      <c r="M40" s="220"/>
      <c r="N40" s="220"/>
      <c r="O40" s="220"/>
      <c r="P40" s="220"/>
      <c r="Q40" s="230"/>
    </row>
    <row r="41" spans="1:17" customFormat="1" ht="15" x14ac:dyDescent="0.25">
      <c r="A41" s="229" t="s">
        <v>941</v>
      </c>
      <c r="C41" s="220"/>
      <c r="D41" s="220"/>
      <c r="E41" s="220"/>
      <c r="F41" s="221"/>
      <c r="G41" s="220"/>
      <c r="H41" s="220"/>
      <c r="I41" s="220"/>
      <c r="J41" s="220"/>
      <c r="K41" s="220"/>
      <c r="L41" s="220"/>
      <c r="M41" s="220"/>
      <c r="N41" s="220"/>
      <c r="O41" s="220"/>
      <c r="P41" s="220"/>
      <c r="Q41" s="230"/>
    </row>
    <row r="42" spans="1:17" customFormat="1" ht="15" x14ac:dyDescent="0.25">
      <c r="A42" s="229" t="s">
        <v>938</v>
      </c>
      <c r="C42" s="220"/>
      <c r="D42" s="220"/>
      <c r="E42" s="220"/>
      <c r="F42" s="221"/>
      <c r="G42" s="220"/>
      <c r="H42" s="220"/>
      <c r="I42" s="220"/>
      <c r="J42" s="220"/>
      <c r="K42" s="220"/>
      <c r="L42" s="220"/>
      <c r="M42" s="220"/>
      <c r="N42" s="220"/>
      <c r="O42" s="220"/>
      <c r="P42" s="220"/>
      <c r="Q42" s="230"/>
    </row>
    <row r="43" spans="1:17" customFormat="1" ht="15" x14ac:dyDescent="0.25">
      <c r="A43" s="229"/>
      <c r="C43" s="220"/>
      <c r="D43" s="220"/>
      <c r="E43" s="220"/>
      <c r="F43" s="233" t="s">
        <v>949</v>
      </c>
      <c r="G43" s="220"/>
      <c r="H43" s="220"/>
      <c r="I43" s="220"/>
      <c r="J43" s="220"/>
      <c r="K43" s="220"/>
      <c r="L43" s="220"/>
      <c r="M43" s="220"/>
      <c r="N43" s="220"/>
      <c r="O43" s="220"/>
      <c r="P43" s="220"/>
      <c r="Q43" s="230"/>
    </row>
    <row r="44" spans="1:17" customFormat="1" ht="15" x14ac:dyDescent="0.25">
      <c r="A44" s="756" t="s">
        <v>942</v>
      </c>
      <c r="B44" s="749"/>
      <c r="C44" s="749"/>
      <c r="D44" s="749"/>
      <c r="E44" s="749"/>
      <c r="F44" s="748" t="s">
        <v>950</v>
      </c>
      <c r="G44" s="749"/>
      <c r="H44" s="749"/>
      <c r="I44" s="749"/>
      <c r="J44" s="749"/>
      <c r="K44" s="749"/>
      <c r="L44" s="749"/>
      <c r="M44" s="749"/>
      <c r="N44" s="749"/>
      <c r="O44" s="749"/>
      <c r="P44" s="749"/>
      <c r="Q44" s="750"/>
    </row>
    <row r="45" spans="1:17" customFormat="1" ht="42" customHeight="1" x14ac:dyDescent="0.25">
      <c r="A45" s="756" t="s">
        <v>946</v>
      </c>
      <c r="B45" s="749"/>
      <c r="C45" s="749"/>
      <c r="D45" s="749"/>
      <c r="E45" s="749"/>
      <c r="F45" s="748" t="s">
        <v>953</v>
      </c>
      <c r="G45" s="749"/>
      <c r="H45" s="749"/>
      <c r="I45" s="749"/>
      <c r="J45" s="749"/>
      <c r="K45" s="749"/>
      <c r="L45" s="749"/>
      <c r="M45" s="749"/>
      <c r="N45" s="749"/>
      <c r="O45" s="749"/>
      <c r="P45" s="749"/>
      <c r="Q45" s="750"/>
    </row>
    <row r="46" spans="1:17" customFormat="1" ht="25.5" customHeight="1" x14ac:dyDescent="0.25">
      <c r="A46" s="756" t="s">
        <v>943</v>
      </c>
      <c r="B46" s="749"/>
      <c r="C46" s="749"/>
      <c r="D46" s="749"/>
      <c r="E46" s="757"/>
      <c r="F46" s="748" t="s">
        <v>951</v>
      </c>
      <c r="G46" s="749"/>
      <c r="H46" s="749"/>
      <c r="I46" s="749"/>
      <c r="J46" s="749"/>
      <c r="K46" s="749"/>
      <c r="L46" s="749"/>
      <c r="M46" s="749"/>
      <c r="N46" s="749"/>
      <c r="O46" s="749"/>
      <c r="P46" s="749"/>
      <c r="Q46" s="750"/>
    </row>
    <row r="47" spans="1:17" customFormat="1" ht="25.5" customHeight="1" x14ac:dyDescent="0.25">
      <c r="A47" s="756" t="s">
        <v>944</v>
      </c>
      <c r="B47" s="749"/>
      <c r="C47" s="749"/>
      <c r="D47" s="749"/>
      <c r="E47" s="749"/>
      <c r="F47" s="758" t="s">
        <v>952</v>
      </c>
      <c r="G47" s="759"/>
      <c r="H47" s="759"/>
      <c r="I47" s="759"/>
      <c r="J47" s="759"/>
      <c r="K47" s="759"/>
      <c r="L47" s="759"/>
      <c r="M47" s="759"/>
      <c r="N47" s="759"/>
      <c r="O47" s="759"/>
      <c r="P47" s="759"/>
      <c r="Q47" s="760"/>
    </row>
    <row r="48" spans="1:17" customFormat="1" ht="21" customHeight="1" x14ac:dyDescent="0.25">
      <c r="A48" s="756" t="s">
        <v>945</v>
      </c>
      <c r="B48" s="749"/>
      <c r="C48" s="749"/>
      <c r="D48" s="749"/>
      <c r="E48" s="749"/>
      <c r="F48" s="758" t="s">
        <v>939</v>
      </c>
      <c r="G48" s="759"/>
      <c r="H48" s="759"/>
      <c r="I48" s="759"/>
      <c r="J48" s="759"/>
      <c r="K48" s="759"/>
      <c r="L48" s="759"/>
      <c r="M48" s="759"/>
      <c r="N48" s="759"/>
      <c r="O48" s="759"/>
      <c r="P48" s="759"/>
      <c r="Q48" s="760"/>
    </row>
    <row r="49" spans="1:17" customFormat="1" ht="27" customHeight="1" x14ac:dyDescent="0.25">
      <c r="A49" s="756" t="s">
        <v>958</v>
      </c>
      <c r="B49" s="749"/>
      <c r="C49" s="749"/>
      <c r="D49" s="749"/>
      <c r="E49" s="749"/>
      <c r="F49" s="758" t="s">
        <v>954</v>
      </c>
      <c r="G49" s="759"/>
      <c r="H49" s="759"/>
      <c r="I49" s="759"/>
      <c r="J49" s="759"/>
      <c r="K49" s="759"/>
      <c r="L49" s="759"/>
      <c r="M49" s="759"/>
      <c r="N49" s="759"/>
      <c r="O49" s="759"/>
      <c r="P49" s="759"/>
      <c r="Q49" s="760"/>
    </row>
    <row r="50" spans="1:17" customFormat="1" ht="27" customHeight="1" x14ac:dyDescent="0.25">
      <c r="A50" s="756" t="s">
        <v>947</v>
      </c>
      <c r="B50" s="749"/>
      <c r="C50" s="749"/>
      <c r="D50" s="749"/>
      <c r="E50" s="757"/>
      <c r="F50" s="748" t="s">
        <v>955</v>
      </c>
      <c r="G50" s="749"/>
      <c r="H50" s="749"/>
      <c r="I50" s="749"/>
      <c r="J50" s="749"/>
      <c r="K50" s="749"/>
      <c r="L50" s="749"/>
      <c r="M50" s="749"/>
      <c r="N50" s="749"/>
      <c r="O50" s="749"/>
      <c r="P50" s="749"/>
      <c r="Q50" s="750"/>
    </row>
    <row r="51" spans="1:17" customFormat="1" ht="21.75" customHeight="1" x14ac:dyDescent="0.25">
      <c r="A51" s="756" t="s">
        <v>948</v>
      </c>
      <c r="B51" s="749"/>
      <c r="C51" s="749"/>
      <c r="D51" s="749"/>
      <c r="E51" s="757"/>
      <c r="F51" s="751" t="s">
        <v>959</v>
      </c>
      <c r="G51" s="752"/>
      <c r="H51" s="146"/>
      <c r="I51" s="146"/>
      <c r="J51" s="146"/>
      <c r="K51" s="146"/>
      <c r="L51" s="146"/>
      <c r="M51" s="146"/>
      <c r="N51" s="146"/>
      <c r="O51" s="146"/>
      <c r="P51" s="146"/>
      <c r="Q51" s="148"/>
    </row>
    <row r="52" spans="1:17" customFormat="1" ht="15" x14ac:dyDescent="0.25">
      <c r="A52" s="756"/>
      <c r="B52" s="749"/>
      <c r="C52" s="749"/>
      <c r="D52" s="749"/>
      <c r="E52" s="757"/>
      <c r="F52" s="748" t="s">
        <v>960</v>
      </c>
      <c r="G52" s="749"/>
      <c r="H52" s="749"/>
      <c r="I52" s="749"/>
      <c r="J52" s="749"/>
      <c r="K52" s="749"/>
      <c r="L52" s="749"/>
      <c r="M52" s="749"/>
      <c r="N52" s="749"/>
      <c r="O52" s="749"/>
      <c r="P52" s="749"/>
      <c r="Q52" s="750"/>
    </row>
    <row r="53" spans="1:17" customFormat="1" ht="27.75" customHeight="1" x14ac:dyDescent="0.25">
      <c r="A53" s="756"/>
      <c r="B53" s="749"/>
      <c r="C53" s="749"/>
      <c r="D53" s="749"/>
      <c r="E53" s="757"/>
      <c r="F53" s="748" t="s">
        <v>961</v>
      </c>
      <c r="G53" s="749"/>
      <c r="H53" s="749"/>
      <c r="I53" s="749"/>
      <c r="J53" s="749"/>
      <c r="K53" s="749"/>
      <c r="L53" s="749"/>
      <c r="M53" s="749"/>
      <c r="N53" s="749"/>
      <c r="O53" s="749"/>
      <c r="P53" s="749"/>
      <c r="Q53" s="750"/>
    </row>
    <row r="54" spans="1:17" customFormat="1" ht="28.5" customHeight="1" x14ac:dyDescent="0.25">
      <c r="A54" s="409"/>
      <c r="B54" s="407"/>
      <c r="C54" s="407"/>
      <c r="D54" s="407"/>
      <c r="E54" s="407"/>
      <c r="F54" s="748" t="s">
        <v>962</v>
      </c>
      <c r="G54" s="749"/>
      <c r="H54" s="749"/>
      <c r="I54" s="749"/>
      <c r="J54" s="749"/>
      <c r="K54" s="749"/>
      <c r="L54" s="749"/>
      <c r="M54" s="749"/>
      <c r="N54" s="749"/>
      <c r="O54" s="749"/>
      <c r="P54" s="749"/>
      <c r="Q54" s="750"/>
    </row>
    <row r="55" spans="1:17" customFormat="1" ht="25.5" customHeight="1" x14ac:dyDescent="0.25">
      <c r="A55" s="409"/>
      <c r="B55" s="407"/>
      <c r="C55" s="407"/>
      <c r="D55" s="407"/>
      <c r="E55" s="407"/>
      <c r="F55" s="751" t="s">
        <v>956</v>
      </c>
      <c r="G55" s="752"/>
      <c r="H55" s="407"/>
      <c r="I55" s="407"/>
      <c r="J55" s="407"/>
      <c r="K55" s="407"/>
      <c r="L55" s="407"/>
      <c r="M55" s="407"/>
      <c r="N55" s="407"/>
      <c r="O55" s="407"/>
      <c r="P55" s="407"/>
      <c r="Q55" s="408"/>
    </row>
    <row r="56" spans="1:17" customFormat="1" ht="15" x14ac:dyDescent="0.25">
      <c r="A56" s="231"/>
      <c r="B56" s="232"/>
      <c r="C56" s="232"/>
      <c r="D56" s="232"/>
      <c r="E56" s="232"/>
      <c r="F56" s="753" t="s">
        <v>957</v>
      </c>
      <c r="G56" s="754"/>
      <c r="H56" s="754"/>
      <c r="I56" s="754"/>
      <c r="J56" s="754"/>
      <c r="K56" s="754"/>
      <c r="L56" s="754"/>
      <c r="M56" s="754"/>
      <c r="N56" s="754"/>
      <c r="O56" s="754"/>
      <c r="P56" s="754"/>
      <c r="Q56" s="755"/>
    </row>
  </sheetData>
  <sheetProtection algorithmName="SHA-512" hashValue="Gv3iHFSK5O4uxQzOGohNZ9UEztfqTtG9mlWqwcwpTBb0dmdoAa1FtUk+QTnJvXko9Cx7zcQj6AJC7oTFu8f8BA==" saltValue="IMNuvuRP90bHl5ElITZ7FA==" spinCount="100000" sheet="1" objects="1" scenarios="1" selectLockedCells="1"/>
  <protectedRanges>
    <protectedRange sqref="H15:P15" name="Rango10"/>
    <protectedRange sqref="C33:D34" name="Rango25"/>
    <protectedRange sqref="H33:P34" name="Rango23"/>
    <protectedRange sqref="H28:P29" name="Rango21"/>
    <protectedRange sqref="H26:L26 P26" name="Rango20"/>
    <protectedRange sqref="H24:M24 O24:P24" name="Rango19"/>
    <protectedRange sqref="H24:M24 O24:P24" name="Rango2"/>
  </protectedRanges>
  <mergeCells count="205">
    <mergeCell ref="C8:K8"/>
    <mergeCell ref="A10:E10"/>
    <mergeCell ref="F10:Q10"/>
    <mergeCell ref="C11:E11"/>
    <mergeCell ref="F11:L11"/>
    <mergeCell ref="M11:O11"/>
    <mergeCell ref="A1:Q1"/>
    <mergeCell ref="A2:Q2"/>
    <mergeCell ref="A3:Q3"/>
    <mergeCell ref="B5:C5"/>
    <mergeCell ref="D5:O5"/>
    <mergeCell ref="B6:C6"/>
    <mergeCell ref="D6:O6"/>
    <mergeCell ref="M15:M16"/>
    <mergeCell ref="N15:N16"/>
    <mergeCell ref="O15:O16"/>
    <mergeCell ref="P15:P16"/>
    <mergeCell ref="Q15:Q16"/>
    <mergeCell ref="A17:A18"/>
    <mergeCell ref="B17:B18"/>
    <mergeCell ref="C17:C18"/>
    <mergeCell ref="D17:D18"/>
    <mergeCell ref="E17:E18"/>
    <mergeCell ref="G15:G16"/>
    <mergeCell ref="H15:H16"/>
    <mergeCell ref="I15:I16"/>
    <mergeCell ref="J15:J16"/>
    <mergeCell ref="K15:K16"/>
    <mergeCell ref="L15:L16"/>
    <mergeCell ref="A15:A16"/>
    <mergeCell ref="B15:B16"/>
    <mergeCell ref="C15:C16"/>
    <mergeCell ref="D15:D16"/>
    <mergeCell ref="E15:E16"/>
    <mergeCell ref="F15:F16"/>
    <mergeCell ref="L17:L18"/>
    <mergeCell ref="M17:M18"/>
    <mergeCell ref="N17:N18"/>
    <mergeCell ref="O17:O18"/>
    <mergeCell ref="P17:P18"/>
    <mergeCell ref="Q17:Q18"/>
    <mergeCell ref="F17:F18"/>
    <mergeCell ref="G17:G18"/>
    <mergeCell ref="H17:H18"/>
    <mergeCell ref="I17:I18"/>
    <mergeCell ref="J17:J18"/>
    <mergeCell ref="K17:K18"/>
    <mergeCell ref="N19:N20"/>
    <mergeCell ref="O19:O20"/>
    <mergeCell ref="P19:P20"/>
    <mergeCell ref="Q19:Q20"/>
    <mergeCell ref="A21:A22"/>
    <mergeCell ref="B21:B22"/>
    <mergeCell ref="C21:C22"/>
    <mergeCell ref="D21:D22"/>
    <mergeCell ref="E21:E22"/>
    <mergeCell ref="F21:F22"/>
    <mergeCell ref="G19:G20"/>
    <mergeCell ref="I19:I20"/>
    <mergeCell ref="J19:J20"/>
    <mergeCell ref="K19:K20"/>
    <mergeCell ref="L19:L20"/>
    <mergeCell ref="M19:M20"/>
    <mergeCell ref="A19:A20"/>
    <mergeCell ref="B19:B20"/>
    <mergeCell ref="C19:C20"/>
    <mergeCell ref="D19:D20"/>
    <mergeCell ref="E19:E20"/>
    <mergeCell ref="F19:F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L23:L24"/>
    <mergeCell ref="M23:M24"/>
    <mergeCell ref="N23:N24"/>
    <mergeCell ref="O23:O24"/>
    <mergeCell ref="P23:P24"/>
    <mergeCell ref="Q23:Q24"/>
    <mergeCell ref="F23:F24"/>
    <mergeCell ref="G23:G24"/>
    <mergeCell ref="H23:H24"/>
    <mergeCell ref="I23:I24"/>
    <mergeCell ref="J23:J24"/>
    <mergeCell ref="K23:K24"/>
    <mergeCell ref="M25:M26"/>
    <mergeCell ref="N25:N26"/>
    <mergeCell ref="O25:O26"/>
    <mergeCell ref="P25:P26"/>
    <mergeCell ref="Q25:Q26"/>
    <mergeCell ref="A27:A28"/>
    <mergeCell ref="B27:B28"/>
    <mergeCell ref="C27:C28"/>
    <mergeCell ref="D27:D28"/>
    <mergeCell ref="E27:E28"/>
    <mergeCell ref="G25:G26"/>
    <mergeCell ref="H25:H26"/>
    <mergeCell ref="I25:I26"/>
    <mergeCell ref="J25:J26"/>
    <mergeCell ref="K25:K26"/>
    <mergeCell ref="L25:L26"/>
    <mergeCell ref="A25:A26"/>
    <mergeCell ref="B25:B26"/>
    <mergeCell ref="C25:C26"/>
    <mergeCell ref="D25:D26"/>
    <mergeCell ref="E25:E26"/>
    <mergeCell ref="F25:F26"/>
    <mergeCell ref="L27:L28"/>
    <mergeCell ref="M27:M28"/>
    <mergeCell ref="N27:N28"/>
    <mergeCell ref="O27:O28"/>
    <mergeCell ref="P27:P28"/>
    <mergeCell ref="Q27:Q28"/>
    <mergeCell ref="F27:F28"/>
    <mergeCell ref="G27:G28"/>
    <mergeCell ref="H27:H28"/>
    <mergeCell ref="I27:I28"/>
    <mergeCell ref="J27:J28"/>
    <mergeCell ref="K27:K28"/>
    <mergeCell ref="M29:M30"/>
    <mergeCell ref="N29:N30"/>
    <mergeCell ref="O29:O30"/>
    <mergeCell ref="P29:P30"/>
    <mergeCell ref="Q29:Q30"/>
    <mergeCell ref="A31:A32"/>
    <mergeCell ref="B31:B32"/>
    <mergeCell ref="C31:C32"/>
    <mergeCell ref="D31:D32"/>
    <mergeCell ref="E31:E32"/>
    <mergeCell ref="G29:G30"/>
    <mergeCell ref="H29:H30"/>
    <mergeCell ref="I29:I30"/>
    <mergeCell ref="J29:J30"/>
    <mergeCell ref="K29:K30"/>
    <mergeCell ref="L29:L30"/>
    <mergeCell ref="A29:A30"/>
    <mergeCell ref="B29:B30"/>
    <mergeCell ref="C29:C30"/>
    <mergeCell ref="D29:D30"/>
    <mergeCell ref="E29:E30"/>
    <mergeCell ref="F29:F30"/>
    <mergeCell ref="L31:L32"/>
    <mergeCell ref="M31:M32"/>
    <mergeCell ref="N31:N32"/>
    <mergeCell ref="O31:O32"/>
    <mergeCell ref="P31:P32"/>
    <mergeCell ref="Q31:Q32"/>
    <mergeCell ref="F31:F32"/>
    <mergeCell ref="G31:G32"/>
    <mergeCell ref="H31:H32"/>
    <mergeCell ref="I31:I32"/>
    <mergeCell ref="J31:J32"/>
    <mergeCell ref="K31:K32"/>
    <mergeCell ref="M33:M34"/>
    <mergeCell ref="N33:N34"/>
    <mergeCell ref="O33:O34"/>
    <mergeCell ref="P33:P34"/>
    <mergeCell ref="Q33:Q34"/>
    <mergeCell ref="A44:E44"/>
    <mergeCell ref="F44:Q44"/>
    <mergeCell ref="G33:G34"/>
    <mergeCell ref="H33:H34"/>
    <mergeCell ref="I33:I34"/>
    <mergeCell ref="J33:J34"/>
    <mergeCell ref="K33:K34"/>
    <mergeCell ref="L33:L34"/>
    <mergeCell ref="A33:A34"/>
    <mergeCell ref="B33:B34"/>
    <mergeCell ref="C33:C34"/>
    <mergeCell ref="D33:D34"/>
    <mergeCell ref="E33:E34"/>
    <mergeCell ref="F33:F34"/>
    <mergeCell ref="A48:E48"/>
    <mergeCell ref="F48:Q48"/>
    <mergeCell ref="A49:E49"/>
    <mergeCell ref="F49:Q49"/>
    <mergeCell ref="A50:E50"/>
    <mergeCell ref="F50:Q50"/>
    <mergeCell ref="A45:E45"/>
    <mergeCell ref="F45:Q45"/>
    <mergeCell ref="A46:E46"/>
    <mergeCell ref="F46:Q46"/>
    <mergeCell ref="A47:E47"/>
    <mergeCell ref="F47:Q47"/>
    <mergeCell ref="F54:Q54"/>
    <mergeCell ref="F55:G55"/>
    <mergeCell ref="F56:Q56"/>
    <mergeCell ref="A51:E51"/>
    <mergeCell ref="F51:G51"/>
    <mergeCell ref="A52:E52"/>
    <mergeCell ref="F52:Q52"/>
    <mergeCell ref="A53:E53"/>
    <mergeCell ref="F53:Q53"/>
  </mergeCells>
  <conditionalFormatting sqref="A15:A34">
    <cfRule type="cellIs" dxfId="0" priority="1" operator="between">
      <formula>1</formula>
      <formula>9</formula>
    </cfRule>
  </conditionalFormatting>
  <printOptions gridLinesSet="0"/>
  <pageMargins left="0.39370078740157483" right="0.19685039370078741" top="1.1811023622047245" bottom="0.78740157480314965" header="0.31496062992125984" footer="0.31496062992125984"/>
  <pageSetup paperSize="300" scale="50" fitToWidth="0"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0185-3F6C-4ECD-9977-901F4167E5C1}">
  <dimension ref="A1:AZ66"/>
  <sheetViews>
    <sheetView zoomScaleNormal="100" workbookViewId="0">
      <selection activeCell="G22" sqref="G22"/>
    </sheetView>
  </sheetViews>
  <sheetFormatPr baseColWidth="10" defaultRowHeight="15" x14ac:dyDescent="0.25"/>
  <cols>
    <col min="1" max="1" width="19.7109375" customWidth="1"/>
    <col min="2" max="2" width="6.5703125" bestFit="1" customWidth="1"/>
    <col min="3" max="3" width="6.28515625" customWidth="1"/>
    <col min="4" max="4" width="9.5703125" bestFit="1" customWidth="1"/>
    <col min="5" max="5" width="10.85546875" customWidth="1"/>
    <col min="6" max="6" width="11.28515625" customWidth="1"/>
    <col min="7" max="7" width="12.140625" customWidth="1"/>
    <col min="8" max="8" width="9.42578125" customWidth="1"/>
    <col min="9" max="9" width="11.42578125" hidden="1" customWidth="1"/>
    <col min="10" max="11" width="10.28515625" customWidth="1"/>
    <col min="12" max="12" width="9.85546875" customWidth="1"/>
    <col min="13" max="13" width="11.5703125" customWidth="1"/>
    <col min="14" max="14" width="10.28515625" customWidth="1"/>
    <col min="15" max="15" width="11.42578125" customWidth="1"/>
    <col min="16" max="16" width="11.5703125" customWidth="1"/>
    <col min="17" max="20" width="11.42578125" hidden="1" customWidth="1"/>
    <col min="21" max="21" width="11.42578125" customWidth="1"/>
    <col min="22" max="22" width="11.5703125" customWidth="1"/>
    <col min="23" max="23" width="10.140625" customWidth="1"/>
    <col min="24" max="24" width="11.42578125" customWidth="1"/>
    <col min="25" max="25" width="10.42578125" customWidth="1"/>
    <col min="26" max="26" width="10.5703125" customWidth="1"/>
    <col min="27" max="27" width="10.28515625" customWidth="1"/>
    <col min="28" max="28" width="11.42578125" customWidth="1"/>
    <col min="29" max="29" width="9.140625" customWidth="1"/>
    <col min="30" max="30" width="11.42578125" hidden="1" customWidth="1"/>
    <col min="31" max="31" width="9.85546875" customWidth="1"/>
    <col min="32" max="32" width="10.5703125" customWidth="1"/>
    <col min="33" max="34" width="10.85546875" bestFit="1" customWidth="1"/>
    <col min="35" max="36" width="10.5703125" customWidth="1"/>
    <col min="37" max="37" width="10.42578125" customWidth="1"/>
    <col min="38" max="38" width="9.85546875" customWidth="1"/>
    <col min="39" max="39" width="9.28515625" customWidth="1"/>
    <col min="40" max="40" width="9.42578125" customWidth="1"/>
    <col min="41" max="41" width="9.7109375" customWidth="1"/>
    <col min="42" max="42" width="0" hidden="1" customWidth="1"/>
    <col min="43" max="43" width="10.85546875" bestFit="1" customWidth="1"/>
    <col min="44" max="44" width="10" customWidth="1"/>
    <col min="47" max="47" width="12.85546875" customWidth="1"/>
    <col min="48" max="48" width="4.140625" style="547" customWidth="1"/>
    <col min="49" max="52" width="11.42578125" style="547"/>
  </cols>
  <sheetData>
    <row r="1" spans="1:52" s="548" customFormat="1" x14ac:dyDescent="0.25">
      <c r="A1" s="904" t="s">
        <v>0</v>
      </c>
      <c r="B1" s="904"/>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c r="AM1" s="904"/>
      <c r="AN1" s="904"/>
      <c r="AO1" s="904"/>
      <c r="AP1" s="904"/>
      <c r="AQ1" s="904"/>
      <c r="AR1" s="904"/>
      <c r="AS1" s="904"/>
      <c r="AT1" s="904"/>
      <c r="AU1" s="904"/>
      <c r="AV1" s="547"/>
      <c r="AW1" s="547"/>
      <c r="AX1" s="547"/>
      <c r="AY1" s="547"/>
      <c r="AZ1" s="547"/>
    </row>
    <row r="2" spans="1:52" s="548" customFormat="1" x14ac:dyDescent="0.25">
      <c r="A2" s="904" t="s">
        <v>62</v>
      </c>
      <c r="B2" s="904"/>
      <c r="C2" s="904"/>
      <c r="D2" s="904"/>
      <c r="E2" s="904"/>
      <c r="F2" s="904"/>
      <c r="G2" s="904"/>
      <c r="H2" s="904"/>
      <c r="I2" s="904"/>
      <c r="J2" s="904"/>
      <c r="K2" s="904"/>
      <c r="L2" s="904"/>
      <c r="M2" s="904"/>
      <c r="N2" s="904"/>
      <c r="O2" s="904"/>
      <c r="P2" s="904"/>
      <c r="Q2" s="904"/>
      <c r="R2" s="904"/>
      <c r="S2" s="904"/>
      <c r="T2" s="904"/>
      <c r="U2" s="904"/>
      <c r="V2" s="904"/>
      <c r="W2" s="904"/>
      <c r="X2" s="904"/>
      <c r="Y2" s="904"/>
      <c r="Z2" s="904"/>
      <c r="AA2" s="904"/>
      <c r="AB2" s="904"/>
      <c r="AC2" s="904"/>
      <c r="AD2" s="904"/>
      <c r="AE2" s="904"/>
      <c r="AF2" s="904"/>
      <c r="AG2" s="904"/>
      <c r="AH2" s="904"/>
      <c r="AI2" s="904"/>
      <c r="AJ2" s="904"/>
      <c r="AK2" s="904"/>
      <c r="AL2" s="904"/>
      <c r="AM2" s="904"/>
      <c r="AN2" s="904"/>
      <c r="AO2" s="904"/>
      <c r="AP2" s="904"/>
      <c r="AQ2" s="904"/>
      <c r="AR2" s="904"/>
      <c r="AS2" s="904"/>
      <c r="AT2" s="904"/>
      <c r="AU2" s="904"/>
      <c r="AV2" s="547"/>
      <c r="AW2" s="547"/>
      <c r="AX2" s="547"/>
      <c r="AY2" s="547"/>
      <c r="AZ2" s="547"/>
    </row>
    <row r="3" spans="1:52" s="548" customFormat="1" x14ac:dyDescent="0.25">
      <c r="A3" s="905" t="s">
        <v>1186</v>
      </c>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547"/>
      <c r="AW3" s="547"/>
      <c r="AX3" s="547"/>
      <c r="AY3" s="547"/>
      <c r="AZ3" s="547"/>
    </row>
    <row r="4" spans="1:52" s="548" customFormat="1" x14ac:dyDescent="0.25">
      <c r="A4" s="549" t="s">
        <v>20</v>
      </c>
      <c r="B4" s="906" t="s">
        <v>218</v>
      </c>
      <c r="C4" s="906"/>
      <c r="D4" s="906"/>
      <c r="E4" s="906"/>
      <c r="F4" s="906"/>
      <c r="G4" s="906"/>
      <c r="H4" s="906"/>
      <c r="I4" s="906"/>
      <c r="J4" s="906"/>
      <c r="K4" s="906"/>
      <c r="L4" s="906"/>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c r="AQ4" s="550"/>
      <c r="AR4" s="550"/>
      <c r="AS4" s="550"/>
      <c r="AT4" s="550"/>
      <c r="AU4" s="550"/>
      <c r="AV4" s="547"/>
      <c r="AW4" s="547"/>
      <c r="AX4" s="547"/>
      <c r="AY4" s="547"/>
      <c r="AZ4" s="547"/>
    </row>
    <row r="5" spans="1:52" s="548" customFormat="1" x14ac:dyDescent="0.25">
      <c r="A5" s="549" t="s">
        <v>115</v>
      </c>
      <c r="B5" s="907" t="str">
        <f>IFERROR(VLOOKUP(B4,[4]DESPLEGABLES!A1:B198,2,FALSE),"")</f>
        <v>MINISTERIO DE TECNOLOGIAS DE LA INFORMACION Y LAS COMUNICACIONES - UNIDAD ADMINISTRATIVA ESPECIAL COMISION DE REGULACION DE COMUNICACIONES</v>
      </c>
      <c r="C5" s="907"/>
      <c r="D5" s="907"/>
      <c r="E5" s="907"/>
      <c r="F5" s="907"/>
      <c r="G5" s="907"/>
      <c r="H5" s="907"/>
      <c r="I5" s="907"/>
      <c r="J5" s="907"/>
      <c r="K5" s="907"/>
      <c r="L5" s="907"/>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47"/>
      <c r="AW5" s="547"/>
      <c r="AX5" s="547"/>
      <c r="AY5" s="547"/>
      <c r="AZ5" s="547"/>
    </row>
    <row r="6" spans="1:52" s="548" customFormat="1" x14ac:dyDescent="0.25">
      <c r="A6" s="551"/>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47"/>
      <c r="AW6" s="547"/>
      <c r="AX6" s="547"/>
      <c r="AY6" s="547"/>
      <c r="AZ6" s="547"/>
    </row>
    <row r="7" spans="1:52" s="548" customFormat="1" x14ac:dyDescent="0.25">
      <c r="A7" s="550"/>
      <c r="B7" s="550"/>
      <c r="C7" s="550"/>
      <c r="D7" s="908" t="s">
        <v>1187</v>
      </c>
      <c r="E7" s="908"/>
      <c r="F7" s="908"/>
      <c r="G7" s="908"/>
      <c r="H7" s="908"/>
      <c r="I7" s="908"/>
      <c r="J7" s="908"/>
      <c r="K7" s="908"/>
      <c r="L7" s="552">
        <v>2020</v>
      </c>
      <c r="M7" s="550"/>
      <c r="N7" s="550"/>
      <c r="O7" s="248" t="s">
        <v>972</v>
      </c>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47"/>
      <c r="AW7" s="547"/>
      <c r="AX7" s="547"/>
      <c r="AY7" s="547"/>
      <c r="AZ7" s="547"/>
    </row>
    <row r="8" spans="1:52" s="558" customFormat="1" ht="15.75" thickBot="1" x14ac:dyDescent="0.3">
      <c r="A8" s="553"/>
      <c r="B8" s="554"/>
      <c r="C8" s="555"/>
      <c r="D8" s="556"/>
      <c r="E8" s="556"/>
      <c r="F8" s="556"/>
      <c r="G8" s="556"/>
      <c r="H8" s="557"/>
      <c r="I8" s="556"/>
      <c r="J8" s="556"/>
      <c r="K8" s="556"/>
      <c r="L8" s="556"/>
      <c r="M8" s="556"/>
      <c r="N8" s="556"/>
      <c r="O8" s="556"/>
      <c r="P8" s="556"/>
      <c r="Q8" s="556"/>
      <c r="R8" s="556"/>
      <c r="S8" s="556"/>
      <c r="T8" s="556"/>
      <c r="U8" s="556"/>
      <c r="V8" s="556"/>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4"/>
      <c r="AV8" s="547"/>
      <c r="AW8" s="547"/>
      <c r="AX8" s="547"/>
      <c r="AY8" s="547"/>
      <c r="AZ8" s="547"/>
    </row>
    <row r="9" spans="1:52" ht="15.75" thickTop="1" x14ac:dyDescent="0.25">
      <c r="A9" s="893" t="s">
        <v>1188</v>
      </c>
      <c r="B9" s="895" t="s">
        <v>1189</v>
      </c>
      <c r="C9" s="714" t="s">
        <v>1190</v>
      </c>
      <c r="D9" s="897" t="s">
        <v>73</v>
      </c>
      <c r="E9" s="898"/>
      <c r="F9" s="898"/>
      <c r="G9" s="898"/>
      <c r="H9" s="898"/>
      <c r="I9" s="898"/>
      <c r="J9" s="898"/>
      <c r="K9" s="898"/>
      <c r="L9" s="898"/>
      <c r="M9" s="898"/>
      <c r="N9" s="898"/>
      <c r="O9" s="898"/>
      <c r="P9" s="898"/>
      <c r="Q9" s="899"/>
      <c r="R9" s="899"/>
      <c r="S9" s="899"/>
      <c r="T9" s="899"/>
      <c r="U9" s="899"/>
      <c r="V9" s="900"/>
      <c r="W9" s="901" t="s">
        <v>1191</v>
      </c>
      <c r="X9" s="902"/>
      <c r="Y9" s="902"/>
      <c r="Z9" s="902"/>
      <c r="AA9" s="902"/>
      <c r="AB9" s="902"/>
      <c r="AC9" s="902"/>
      <c r="AD9" s="902"/>
      <c r="AE9" s="902"/>
      <c r="AF9" s="903"/>
      <c r="AG9" s="716" t="s">
        <v>1192</v>
      </c>
      <c r="AH9" s="717"/>
      <c r="AI9" s="717"/>
      <c r="AJ9" s="717"/>
      <c r="AK9" s="717"/>
      <c r="AL9" s="717"/>
      <c r="AM9" s="717"/>
      <c r="AN9" s="717"/>
      <c r="AO9" s="717"/>
      <c r="AP9" s="717"/>
      <c r="AQ9" s="718"/>
      <c r="AR9" s="880" t="s">
        <v>77</v>
      </c>
      <c r="AS9" s="881"/>
      <c r="AT9" s="882"/>
      <c r="AU9" s="714" t="s">
        <v>1193</v>
      </c>
    </row>
    <row r="10" spans="1:52" x14ac:dyDescent="0.25">
      <c r="A10" s="894"/>
      <c r="B10" s="896"/>
      <c r="C10" s="897"/>
      <c r="D10" s="722" t="s">
        <v>1194</v>
      </c>
      <c r="E10" s="883"/>
      <c r="F10" s="883"/>
      <c r="G10" s="883"/>
      <c r="H10" s="883"/>
      <c r="I10" s="883"/>
      <c r="J10" s="883"/>
      <c r="K10" s="883"/>
      <c r="L10" s="883"/>
      <c r="M10" s="883"/>
      <c r="N10" s="883"/>
      <c r="O10" s="883"/>
      <c r="P10" s="723"/>
      <c r="Q10" s="878" t="s">
        <v>1195</v>
      </c>
      <c r="R10" s="884"/>
      <c r="S10" s="884"/>
      <c r="T10" s="884"/>
      <c r="U10" s="879"/>
      <c r="V10" s="871" t="s">
        <v>66</v>
      </c>
      <c r="W10" s="885" t="s">
        <v>1196</v>
      </c>
      <c r="X10" s="886"/>
      <c r="Y10" s="886"/>
      <c r="Z10" s="887"/>
      <c r="AA10" s="888" t="s">
        <v>1197</v>
      </c>
      <c r="AB10" s="889"/>
      <c r="AC10" s="889"/>
      <c r="AD10" s="889"/>
      <c r="AE10" s="890"/>
      <c r="AF10" s="891" t="s">
        <v>66</v>
      </c>
      <c r="AG10" s="715" t="s">
        <v>1198</v>
      </c>
      <c r="AH10" s="715" t="s">
        <v>598</v>
      </c>
      <c r="AI10" s="715" t="s">
        <v>1199</v>
      </c>
      <c r="AJ10" s="715" t="s">
        <v>1200</v>
      </c>
      <c r="AK10" s="715" t="s">
        <v>1201</v>
      </c>
      <c r="AL10" s="715" t="s">
        <v>1202</v>
      </c>
      <c r="AM10" s="715" t="s">
        <v>1203</v>
      </c>
      <c r="AN10" s="715" t="s">
        <v>1204</v>
      </c>
      <c r="AO10" s="715" t="s">
        <v>1205</v>
      </c>
      <c r="AP10" s="715" t="s">
        <v>1206</v>
      </c>
      <c r="AQ10" s="875" t="s">
        <v>66</v>
      </c>
      <c r="AR10" s="876" t="s">
        <v>1207</v>
      </c>
      <c r="AS10" s="876" t="s">
        <v>1208</v>
      </c>
      <c r="AT10" s="877" t="s">
        <v>1209</v>
      </c>
      <c r="AU10" s="715"/>
    </row>
    <row r="11" spans="1:52" ht="15" customHeight="1" x14ac:dyDescent="0.25">
      <c r="A11" s="894"/>
      <c r="B11" s="896"/>
      <c r="C11" s="715"/>
      <c r="D11" s="878" t="s">
        <v>1210</v>
      </c>
      <c r="E11" s="879"/>
      <c r="F11" s="870" t="s">
        <v>1211</v>
      </c>
      <c r="G11" s="870" t="s">
        <v>1212</v>
      </c>
      <c r="H11" s="870" t="s">
        <v>1213</v>
      </c>
      <c r="I11" s="870" t="s">
        <v>1214</v>
      </c>
      <c r="J11" s="870" t="s">
        <v>1215</v>
      </c>
      <c r="K11" s="870" t="s">
        <v>1216</v>
      </c>
      <c r="L11" s="870" t="s">
        <v>1217</v>
      </c>
      <c r="M11" s="870" t="s">
        <v>1218</v>
      </c>
      <c r="N11" s="870" t="s">
        <v>1219</v>
      </c>
      <c r="O11" s="870" t="s">
        <v>1220</v>
      </c>
      <c r="P11" s="871" t="s">
        <v>1221</v>
      </c>
      <c r="Q11" s="870" t="s">
        <v>1222</v>
      </c>
      <c r="R11" s="870" t="s">
        <v>1223</v>
      </c>
      <c r="S11" s="870" t="s">
        <v>1224</v>
      </c>
      <c r="T11" s="870" t="s">
        <v>1225</v>
      </c>
      <c r="U11" s="871" t="s">
        <v>1226</v>
      </c>
      <c r="V11" s="875"/>
      <c r="W11" s="873" t="s">
        <v>1227</v>
      </c>
      <c r="X11" s="866" t="s">
        <v>1228</v>
      </c>
      <c r="Y11" s="873" t="s">
        <v>1229</v>
      </c>
      <c r="Z11" s="862" t="s">
        <v>1221</v>
      </c>
      <c r="AA11" s="864" t="s">
        <v>1230</v>
      </c>
      <c r="AB11" s="864" t="s">
        <v>1231</v>
      </c>
      <c r="AC11" s="866" t="s">
        <v>1232</v>
      </c>
      <c r="AD11" s="864" t="s">
        <v>1233</v>
      </c>
      <c r="AE11" s="868" t="s">
        <v>1226</v>
      </c>
      <c r="AF11" s="892"/>
      <c r="AG11" s="715"/>
      <c r="AH11" s="715"/>
      <c r="AI11" s="715"/>
      <c r="AJ11" s="715"/>
      <c r="AK11" s="715"/>
      <c r="AL11" s="715"/>
      <c r="AM11" s="715"/>
      <c r="AN11" s="715"/>
      <c r="AO11" s="715" t="s">
        <v>1234</v>
      </c>
      <c r="AP11" s="715" t="s">
        <v>1234</v>
      </c>
      <c r="AQ11" s="875" t="s">
        <v>1234</v>
      </c>
      <c r="AR11" s="876"/>
      <c r="AS11" s="876"/>
      <c r="AT11" s="877"/>
      <c r="AU11" s="715"/>
    </row>
    <row r="12" spans="1:52" x14ac:dyDescent="0.25">
      <c r="A12" s="894"/>
      <c r="B12" s="896"/>
      <c r="C12" s="715"/>
      <c r="D12" s="559" t="s">
        <v>1235</v>
      </c>
      <c r="E12" s="414" t="s">
        <v>1236</v>
      </c>
      <c r="F12" s="715"/>
      <c r="G12" s="715"/>
      <c r="H12" s="715"/>
      <c r="I12" s="715"/>
      <c r="J12" s="715"/>
      <c r="K12" s="715"/>
      <c r="L12" s="715"/>
      <c r="M12" s="715"/>
      <c r="N12" s="715"/>
      <c r="O12" s="715"/>
      <c r="P12" s="875"/>
      <c r="Q12" s="715"/>
      <c r="R12" s="715"/>
      <c r="S12" s="715"/>
      <c r="T12" s="715"/>
      <c r="U12" s="872"/>
      <c r="V12" s="875"/>
      <c r="W12" s="874"/>
      <c r="X12" s="867"/>
      <c r="Y12" s="874"/>
      <c r="Z12" s="863"/>
      <c r="AA12" s="865"/>
      <c r="AB12" s="865"/>
      <c r="AC12" s="867"/>
      <c r="AD12" s="865"/>
      <c r="AE12" s="869"/>
      <c r="AF12" s="892"/>
      <c r="AG12" s="715"/>
      <c r="AH12" s="715"/>
      <c r="AI12" s="715"/>
      <c r="AJ12" s="715"/>
      <c r="AK12" s="715"/>
      <c r="AL12" s="715"/>
      <c r="AM12" s="715"/>
      <c r="AN12" s="715"/>
      <c r="AO12" s="715" t="s">
        <v>1237</v>
      </c>
      <c r="AP12" s="715" t="s">
        <v>1237</v>
      </c>
      <c r="AQ12" s="875" t="s">
        <v>1237</v>
      </c>
      <c r="AR12" s="876"/>
      <c r="AS12" s="876"/>
      <c r="AT12" s="877"/>
      <c r="AU12" s="715"/>
    </row>
    <row r="13" spans="1:52" ht="15.75" thickBot="1" x14ac:dyDescent="0.3">
      <c r="A13" s="560">
        <v>1</v>
      </c>
      <c r="B13" s="561">
        <v>2</v>
      </c>
      <c r="C13" s="562">
        <v>3</v>
      </c>
      <c r="D13" s="560"/>
      <c r="E13" s="560">
        <v>4.0999999999999996</v>
      </c>
      <c r="F13" s="563"/>
      <c r="G13" s="560">
        <v>4.3</v>
      </c>
      <c r="H13" s="560">
        <v>4.4000000000000004</v>
      </c>
      <c r="I13" s="560">
        <v>4.5</v>
      </c>
      <c r="J13" s="560">
        <v>4.5999999999999996</v>
      </c>
      <c r="K13" s="560">
        <v>4.7</v>
      </c>
      <c r="L13" s="560">
        <v>4.8</v>
      </c>
      <c r="M13" s="560">
        <v>4.9000000000000004</v>
      </c>
      <c r="N13" s="564">
        <v>4.0999999999999996</v>
      </c>
      <c r="O13" s="560">
        <v>4.1100000000000003</v>
      </c>
      <c r="P13" s="560">
        <v>4</v>
      </c>
      <c r="Q13" s="562">
        <v>5.0999999999999996</v>
      </c>
      <c r="R13" s="560">
        <v>5.2</v>
      </c>
      <c r="S13" s="560">
        <v>5.3</v>
      </c>
      <c r="T13" s="560">
        <v>5.4</v>
      </c>
      <c r="U13" s="560">
        <v>5</v>
      </c>
      <c r="V13" s="565" t="s">
        <v>1238</v>
      </c>
      <c r="W13" s="566">
        <v>7.1</v>
      </c>
      <c r="X13" s="566">
        <v>7.2</v>
      </c>
      <c r="Y13" s="566">
        <v>7.3</v>
      </c>
      <c r="Z13" s="566">
        <v>7</v>
      </c>
      <c r="AA13" s="567">
        <v>8.1</v>
      </c>
      <c r="AB13" s="567" t="s">
        <v>1239</v>
      </c>
      <c r="AC13" s="567">
        <v>8.3000000000000007</v>
      </c>
      <c r="AD13" s="567">
        <v>8.4</v>
      </c>
      <c r="AE13" s="567">
        <v>8</v>
      </c>
      <c r="AF13" s="568" t="s">
        <v>1240</v>
      </c>
      <c r="AG13" s="560">
        <v>10.1</v>
      </c>
      <c r="AH13" s="560">
        <v>10.199999999999999</v>
      </c>
      <c r="AI13" s="560">
        <v>10.3</v>
      </c>
      <c r="AJ13" s="560">
        <v>10.4</v>
      </c>
      <c r="AK13" s="560">
        <v>10.5</v>
      </c>
      <c r="AL13" s="560">
        <v>10.6</v>
      </c>
      <c r="AM13" s="560">
        <v>10.7</v>
      </c>
      <c r="AN13" s="560">
        <v>10.8</v>
      </c>
      <c r="AO13" s="560">
        <v>10.9</v>
      </c>
      <c r="AP13" s="564">
        <v>10.1</v>
      </c>
      <c r="AQ13" s="565">
        <v>10</v>
      </c>
      <c r="AR13" s="569">
        <v>11.1</v>
      </c>
      <c r="AS13" s="570">
        <v>11.2</v>
      </c>
      <c r="AT13" s="571" t="s">
        <v>1241</v>
      </c>
      <c r="AU13" s="572" t="s">
        <v>1242</v>
      </c>
    </row>
    <row r="14" spans="1:52" s="582" customFormat="1" ht="12.75" thickTop="1" thickBot="1" x14ac:dyDescent="0.25">
      <c r="A14" s="573" t="s">
        <v>1243</v>
      </c>
      <c r="B14" s="574"/>
      <c r="C14" s="575"/>
      <c r="D14" s="576"/>
      <c r="E14" s="576"/>
      <c r="F14" s="576"/>
      <c r="G14" s="576"/>
      <c r="H14" s="576"/>
      <c r="I14" s="577"/>
      <c r="J14" s="577" t="s">
        <v>1244</v>
      </c>
      <c r="K14" s="577">
        <v>1</v>
      </c>
      <c r="L14" s="578"/>
      <c r="M14" s="576" t="s">
        <v>1245</v>
      </c>
      <c r="N14" s="576" t="s">
        <v>1246</v>
      </c>
      <c r="O14" s="576"/>
      <c r="P14" s="576"/>
      <c r="Q14" s="576"/>
      <c r="R14" s="576"/>
      <c r="S14" s="577"/>
      <c r="T14" s="577"/>
      <c r="U14" s="578"/>
      <c r="V14" s="577"/>
      <c r="W14" s="577" t="s">
        <v>1247</v>
      </c>
      <c r="X14" s="578"/>
      <c r="Y14" s="576" t="s">
        <v>1248</v>
      </c>
      <c r="Z14" s="576"/>
      <c r="AA14" s="576"/>
      <c r="AB14" s="576"/>
      <c r="AC14" s="576"/>
      <c r="AD14" s="576"/>
      <c r="AE14" s="576"/>
      <c r="AF14" s="576"/>
      <c r="AG14" s="576"/>
      <c r="AH14" s="576"/>
      <c r="AI14" s="576"/>
      <c r="AJ14" s="576"/>
      <c r="AK14" s="576"/>
      <c r="AL14" s="576"/>
      <c r="AM14" s="577"/>
      <c r="AN14" s="577"/>
      <c r="AO14" s="578"/>
      <c r="AP14" s="577"/>
      <c r="AQ14" s="578"/>
      <c r="AR14" s="579"/>
      <c r="AS14" s="579"/>
      <c r="AT14" s="579"/>
      <c r="AU14" s="580"/>
      <c r="AV14" s="581"/>
      <c r="AW14" s="581"/>
      <c r="AX14" s="581"/>
      <c r="AY14" s="581"/>
      <c r="AZ14" s="581"/>
    </row>
    <row r="15" spans="1:52" s="113" customFormat="1" ht="12.75" thickTop="1" thickBot="1" x14ac:dyDescent="0.25">
      <c r="A15" s="583" t="s">
        <v>1249</v>
      </c>
      <c r="B15" s="584"/>
      <c r="C15" s="585">
        <f>SUM(C16:C17)</f>
        <v>8</v>
      </c>
      <c r="D15" s="586">
        <f>+C16*D16+C17*D17</f>
        <v>49022628.644000009</v>
      </c>
      <c r="E15" s="586">
        <f t="shared" ref="E15:G15" si="0">SUM(E16:E17)</f>
        <v>552321616.05573344</v>
      </c>
      <c r="F15" s="586">
        <f t="shared" si="0"/>
        <v>725010698.5333333</v>
      </c>
      <c r="G15" s="586">
        <f t="shared" si="0"/>
        <v>680236143.86399996</v>
      </c>
      <c r="H15" s="586">
        <f t="shared" ref="H15:AU15" si="1">SUM(H16:H17)</f>
        <v>0</v>
      </c>
      <c r="I15" s="586">
        <f t="shared" si="1"/>
        <v>0</v>
      </c>
      <c r="J15" s="586">
        <f t="shared" si="1"/>
        <v>87509545.55817084</v>
      </c>
      <c r="K15" s="586">
        <f t="shared" si="1"/>
        <v>59520661.804099992</v>
      </c>
      <c r="L15" s="586">
        <f t="shared" si="1"/>
        <v>0</v>
      </c>
      <c r="M15" s="586">
        <f t="shared" si="1"/>
        <v>189907867.96478045</v>
      </c>
      <c r="N15" s="586">
        <f t="shared" si="1"/>
        <v>91155776.623094618</v>
      </c>
      <c r="O15" s="586">
        <f t="shared" si="1"/>
        <v>0</v>
      </c>
      <c r="P15" s="586">
        <f t="shared" si="1"/>
        <v>2385662310.4032125</v>
      </c>
      <c r="Q15" s="586">
        <f t="shared" si="1"/>
        <v>0</v>
      </c>
      <c r="R15" s="586">
        <f t="shared" si="1"/>
        <v>0</v>
      </c>
      <c r="S15" s="586">
        <f t="shared" si="1"/>
        <v>0</v>
      </c>
      <c r="T15" s="586">
        <f t="shared" si="1"/>
        <v>0</v>
      </c>
      <c r="U15" s="586">
        <f t="shared" si="1"/>
        <v>0</v>
      </c>
      <c r="V15" s="586">
        <f t="shared" si="1"/>
        <v>2385662310.4032125</v>
      </c>
      <c r="W15" s="586">
        <f t="shared" si="1"/>
        <v>133695139.04720545</v>
      </c>
      <c r="X15" s="586">
        <f t="shared" si="1"/>
        <v>41360000</v>
      </c>
      <c r="Y15" s="586">
        <f t="shared" si="1"/>
        <v>7558179.3762666667</v>
      </c>
      <c r="Z15" s="586">
        <f t="shared" si="1"/>
        <v>182613318.42347211</v>
      </c>
      <c r="AA15" s="586">
        <f t="shared" si="1"/>
        <v>0</v>
      </c>
      <c r="AB15" s="586">
        <f t="shared" si="1"/>
        <v>57455435</v>
      </c>
      <c r="AC15" s="586">
        <f t="shared" si="1"/>
        <v>0</v>
      </c>
      <c r="AD15" s="586">
        <f t="shared" si="1"/>
        <v>0</v>
      </c>
      <c r="AE15" s="586">
        <f t="shared" si="1"/>
        <v>57455435</v>
      </c>
      <c r="AF15" s="586">
        <f t="shared" si="1"/>
        <v>240068753.42347211</v>
      </c>
      <c r="AG15" s="586">
        <f t="shared" si="1"/>
        <v>258595700</v>
      </c>
      <c r="AH15" s="586">
        <f t="shared" si="1"/>
        <v>183172000</v>
      </c>
      <c r="AI15" s="586">
        <f t="shared" si="1"/>
        <v>213741454.11231855</v>
      </c>
      <c r="AJ15" s="586">
        <f t="shared" si="1"/>
        <v>94832400</v>
      </c>
      <c r="AK15" s="586">
        <f t="shared" si="1"/>
        <v>11248900</v>
      </c>
      <c r="AL15" s="586">
        <f t="shared" si="1"/>
        <v>71124300</v>
      </c>
      <c r="AM15" s="586">
        <f t="shared" si="1"/>
        <v>11854000</v>
      </c>
      <c r="AN15" s="586">
        <f t="shared" si="1"/>
        <v>11854000</v>
      </c>
      <c r="AO15" s="586">
        <f t="shared" si="1"/>
        <v>23708100</v>
      </c>
      <c r="AP15" s="586">
        <f t="shared" si="1"/>
        <v>0</v>
      </c>
      <c r="AQ15" s="586">
        <f t="shared" si="1"/>
        <v>880130854.11231852</v>
      </c>
      <c r="AR15" s="586">
        <f t="shared" si="1"/>
        <v>4180000</v>
      </c>
      <c r="AS15" s="586">
        <f t="shared" si="1"/>
        <v>0</v>
      </c>
      <c r="AT15" s="586">
        <f t="shared" si="1"/>
        <v>4180000</v>
      </c>
      <c r="AU15" s="586">
        <f t="shared" si="1"/>
        <v>3505861917.9390035</v>
      </c>
      <c r="AV15" s="547"/>
      <c r="AW15" s="547"/>
      <c r="AX15" s="547"/>
      <c r="AY15" s="547"/>
      <c r="AZ15" s="547"/>
    </row>
    <row r="16" spans="1:52" s="530" customFormat="1" ht="12" thickTop="1" x14ac:dyDescent="0.2">
      <c r="A16" s="587" t="s">
        <v>1250</v>
      </c>
      <c r="B16" s="588" t="s">
        <v>1251</v>
      </c>
      <c r="C16" s="589">
        <f>3+4</f>
        <v>7</v>
      </c>
      <c r="D16" s="590">
        <f>5000960*1.034</f>
        <v>5170992.6400000006</v>
      </c>
      <c r="E16" s="590">
        <f>((D16*11)+D16/30*8)*C16</f>
        <v>407818952.87466669</v>
      </c>
      <c r="F16" s="591">
        <f>(((9192866*11)+(9192866/30*8))*C16)</f>
        <v>725010698.5333333</v>
      </c>
      <c r="G16" s="591">
        <f>+(((D16+9192866)*11+(D16+9192866)/30*30)*50/100)*C16</f>
        <v>603282062.88</v>
      </c>
      <c r="H16" s="590"/>
      <c r="I16" s="590"/>
      <c r="J16" s="591">
        <f>+((D16+9192866+(D16+9192866)/2+H16+(K16/12/C16))/720*360)*C16</f>
        <v>77609723.681583345</v>
      </c>
      <c r="K16" s="591">
        <f>IF(D16&gt;$D$56,(D16+9192866+7181929)*0.35,(D16+9192866+7181929)*0.5)*C16</f>
        <v>52787179.717999995</v>
      </c>
      <c r="L16" s="590"/>
      <c r="M16" s="591">
        <f>+(D16+9192866+((D16+9192866)/2)+(((H16+J16+K16+N16)/12)/C16)/360*360)*C16</f>
        <v>168423879.51732495</v>
      </c>
      <c r="N16" s="590">
        <f>+((D16+9192866+((D16+9192866)/2)+(H16/12/C16)+(J16/12/C16)+(K16/12/C16))/30*15)*C16</f>
        <v>80843462.168315977</v>
      </c>
      <c r="O16" s="590"/>
      <c r="P16" s="592">
        <f>SUM(E16:O16)</f>
        <v>2115775959.3732243</v>
      </c>
      <c r="Q16" s="590"/>
      <c r="R16" s="590"/>
      <c r="S16" s="590"/>
      <c r="T16" s="590"/>
      <c r="U16" s="590">
        <f t="shared" ref="U16:U17" si="2">SUM(Q16:T16)</f>
        <v>0</v>
      </c>
      <c r="V16" s="592">
        <f>P16+U16</f>
        <v>2115775959.3732243</v>
      </c>
      <c r="W16" s="590">
        <f>+((D16+9192866+((D16+9192866)/2)+H16+(K16/12/C16)+(J16/12/C16))/30*22)*C16</f>
        <v>118570411.18019676</v>
      </c>
      <c r="X16" s="590">
        <f>40000000*1.034</f>
        <v>41360000</v>
      </c>
      <c r="Y16" s="590">
        <f>((D16+9192866)/30*2)*C16</f>
        <v>6703134.0319999997</v>
      </c>
      <c r="Z16" s="592">
        <f>SUM(W16:Y16)</f>
        <v>166633545.21219677</v>
      </c>
      <c r="AA16" s="590">
        <v>0</v>
      </c>
      <c r="AB16" s="590">
        <f>ROUND((D16+9192866)*4,0)</f>
        <v>57455435</v>
      </c>
      <c r="AC16" s="590"/>
      <c r="AD16" s="590"/>
      <c r="AE16" s="592">
        <f>SUM(AA16:AD16)</f>
        <v>57455435</v>
      </c>
      <c r="AF16" s="593">
        <f>Z16+AE16</f>
        <v>224088980.21219677</v>
      </c>
      <c r="AG16" s="594">
        <f>ROUND(((E16+F16+G16+K16+L16+W16+AR16)*12%),-2)</f>
        <v>229335200</v>
      </c>
      <c r="AH16" s="594">
        <f>ROUND(((E16+F16+G16+K16+L16+W16+AR16)*8.5%),-2)</f>
        <v>162445800</v>
      </c>
      <c r="AI16" s="594">
        <f>+(E16+F16+G16+H16+J16+K16+L16+M16+N16+W16+X16+AR16)*8.333333333/100</f>
        <v>189946989.20518723</v>
      </c>
      <c r="AJ16" s="594">
        <f>+ROUND((E16+F16+G16+H16+J16+K16+L16+N16+W16+X16)*4/100,-2)</f>
        <v>84291300</v>
      </c>
      <c r="AK16" s="594">
        <f>ROUND(((E16+F16+G16+K16+L16+W16+AR16)*0.522%),-2)</f>
        <v>9976100</v>
      </c>
      <c r="AL16" s="594">
        <f>+ROUND((+E16+F16+G16+H16+J16+K16+L16+N16+W16+X16)*3/100,-2)</f>
        <v>63218500</v>
      </c>
      <c r="AM16" s="594">
        <f>+ROUND((E16+F16+G16+H16+J16+K16+L16+N16+W16+X16)*0.5/100,-2)</f>
        <v>10536400</v>
      </c>
      <c r="AN16" s="594">
        <f>+ROUND((+E16+F16+G16+H16+J16+K16+L16+N16+W16+X16)*0.5/100,-2)</f>
        <v>10536400</v>
      </c>
      <c r="AO16" s="594">
        <f>+ROUND((E16+F16+G16+H16+J16+K16+L16+N16+W16+X16)*1/100,-2)</f>
        <v>21072800</v>
      </c>
      <c r="AP16" s="594"/>
      <c r="AQ16" s="595">
        <f t="shared" ref="AQ16" si="3">SUM(AG16:AP16)</f>
        <v>781359489.2051872</v>
      </c>
      <c r="AR16" s="596">
        <f>522500*C16</f>
        <v>3657500</v>
      </c>
      <c r="AS16" s="596"/>
      <c r="AT16" s="597">
        <f>SUM(AR16:AS16)</f>
        <v>3657500</v>
      </c>
      <c r="AU16" s="598">
        <f>V16+AF16+AQ16</f>
        <v>3121224428.7906084</v>
      </c>
      <c r="AV16" s="547"/>
      <c r="AW16" s="547"/>
      <c r="AX16" s="547"/>
      <c r="AY16" s="547"/>
      <c r="AZ16" s="547"/>
    </row>
    <row r="17" spans="1:52" s="530" customFormat="1" ht="12" thickBot="1" x14ac:dyDescent="0.25">
      <c r="A17" s="587" t="s">
        <v>1252</v>
      </c>
      <c r="B17" s="588">
        <v>-26</v>
      </c>
      <c r="C17" s="589">
        <v>1</v>
      </c>
      <c r="D17" s="590">
        <f>12403946*1.034</f>
        <v>12825680.164000001</v>
      </c>
      <c r="E17" s="590">
        <f>((D17*11)+D17/30*8)*C17</f>
        <v>144502663.18106669</v>
      </c>
      <c r="F17" s="591"/>
      <c r="G17" s="637">
        <f>+((D17*11+D17/30*30)*50/100)*C17</f>
        <v>76954080.984000012</v>
      </c>
      <c r="H17" s="590"/>
      <c r="I17" s="590"/>
      <c r="J17" s="591">
        <f>+((D17+(D17)/2+H17+(K17/12/C17))/720*360)*C17</f>
        <v>9899821.8765874989</v>
      </c>
      <c r="K17" s="591">
        <f>IF(D17&gt;$D$56,(D17+(D17/2))*0.35,(D17+(D17/2))*0.5)*C17</f>
        <v>6733482.086099999</v>
      </c>
      <c r="L17" s="590"/>
      <c r="M17" s="591">
        <f>+(D17+(D17/2)+(((H17+J17+K17+N17)/12)/C17)/360*360)*C17</f>
        <v>21483988.44745551</v>
      </c>
      <c r="N17" s="590">
        <f>+((D17+(D17/2)+(H17/12/C17)+(J17/12/C17)+(K17/12/C17))/30*15)*C17</f>
        <v>10312314.454778645</v>
      </c>
      <c r="O17" s="590"/>
      <c r="P17" s="598">
        <f>SUM(E17:O17)</f>
        <v>269886351.02998841</v>
      </c>
      <c r="Q17" s="590"/>
      <c r="R17" s="590"/>
      <c r="S17" s="590"/>
      <c r="T17" s="590"/>
      <c r="U17" s="590">
        <f t="shared" si="2"/>
        <v>0</v>
      </c>
      <c r="V17" s="592">
        <f>P17+U17</f>
        <v>269886351.02998841</v>
      </c>
      <c r="W17" s="590">
        <f>+((D17+((D17)/2)+H17+(K17/12/C17)+(J17/12/C17))/30*22)*C17</f>
        <v>15124727.86700868</v>
      </c>
      <c r="X17" s="590"/>
      <c r="Y17" s="590">
        <f>((D17)/30*2)*C17</f>
        <v>855045.34426666668</v>
      </c>
      <c r="Z17" s="592">
        <f>SUM(W17:Y17)</f>
        <v>15979773.211275347</v>
      </c>
      <c r="AA17" s="599"/>
      <c r="AB17" s="590"/>
      <c r="AC17" s="590"/>
      <c r="AD17" s="590"/>
      <c r="AE17" s="592">
        <f>SUM(AA17:AD17)</f>
        <v>0</v>
      </c>
      <c r="AF17" s="593">
        <f>Z17+AE17</f>
        <v>15979773.211275347</v>
      </c>
      <c r="AG17" s="600">
        <f t="shared" ref="AG17" si="4">ROUND(((E17+F17+G17+K17+L17+W17+AR17)*12%),-2)</f>
        <v>29260500</v>
      </c>
      <c r="AH17" s="596">
        <f t="shared" ref="AH17" si="5">ROUND(((E17+F17+G17+K17+L17+W17+AR17)*8.5%),-2)</f>
        <v>20726200</v>
      </c>
      <c r="AI17" s="601">
        <f t="shared" ref="AI17" si="6">+(E17+F17+G17+H17+J17+K17+L17+M17+N17+W17+X17+AR17)*8.333333333/100</f>
        <v>23794464.907131314</v>
      </c>
      <c r="AJ17" s="596">
        <f t="shared" ref="AJ17" si="7">+ROUND((E17+F17+G17+H17+J17+K17+L17+N17+W17+X17)*4/100,-2)</f>
        <v>10541100</v>
      </c>
      <c r="AK17" s="601">
        <f t="shared" ref="AK17" si="8">ROUND(((E17+F17+G17+K17+L17+W17+AR17)*0.522%),-2)</f>
        <v>1272800</v>
      </c>
      <c r="AL17" s="596">
        <f t="shared" ref="AL17" si="9">+ROUND((+E17+F17+G17+H17+J17+K17+L17+N17+W17+X17)*3/100,-2)</f>
        <v>7905800</v>
      </c>
      <c r="AM17" s="601">
        <f t="shared" ref="AM17" si="10">+ROUND((E17+F17+G17+H17+J17+K17+L17+N17+W17+X17)*0.5/100,-2)</f>
        <v>1317600</v>
      </c>
      <c r="AN17" s="596">
        <f t="shared" ref="AN17" si="11">+ROUND((+E17+F17+G17+H17+J17+K17+L17+N17+W17+X17)*0.5/100,-2)</f>
        <v>1317600</v>
      </c>
      <c r="AO17" s="590">
        <f t="shared" ref="AO17" si="12">+ROUND((E17+F17+G17+H17+J17+K17+L17+N17+W17+X17)*1/100,-2)</f>
        <v>2635300</v>
      </c>
      <c r="AP17" s="602"/>
      <c r="AQ17" s="603">
        <f t="shared" ref="AQ17" si="13">SUM(AG17:AP17)</f>
        <v>98771364.907131314</v>
      </c>
      <c r="AR17" s="596">
        <f>522500*C17</f>
        <v>522500</v>
      </c>
      <c r="AS17" s="596"/>
      <c r="AT17" s="597">
        <f>SUM(AR17:AS17)</f>
        <v>522500</v>
      </c>
      <c r="AU17" s="598">
        <f>V17+AF17+AQ17</f>
        <v>384637489.14839506</v>
      </c>
      <c r="AV17" s="547"/>
      <c r="AW17" s="547"/>
      <c r="AX17" s="547"/>
      <c r="AY17" s="547"/>
      <c r="AZ17" s="547"/>
    </row>
    <row r="18" spans="1:52" s="113" customFormat="1" ht="12.75" thickTop="1" thickBot="1" x14ac:dyDescent="0.25">
      <c r="A18" s="583" t="s">
        <v>1253</v>
      </c>
      <c r="B18" s="584"/>
      <c r="C18" s="585">
        <f>SUM(C19:C27)</f>
        <v>46</v>
      </c>
      <c r="D18" s="586">
        <f>+C19*D19+C20*D20+C21*D21+C22*D22+C23*D23+C24*D24+C25*D25+C26*D26+C27*D27</f>
        <v>422643900.64599991</v>
      </c>
      <c r="E18" s="586">
        <f t="shared" ref="E18:AU18" si="14">SUM(E19:E27)</f>
        <v>4761787947.2782669</v>
      </c>
      <c r="F18" s="586">
        <f t="shared" si="14"/>
        <v>0</v>
      </c>
      <c r="G18" s="586">
        <f t="shared" si="14"/>
        <v>2535863403.8760004</v>
      </c>
      <c r="H18" s="586">
        <f t="shared" si="14"/>
        <v>0</v>
      </c>
      <c r="I18" s="586">
        <f t="shared" si="14"/>
        <v>0</v>
      </c>
      <c r="J18" s="586">
        <f t="shared" si="14"/>
        <v>326228260.81113124</v>
      </c>
      <c r="K18" s="586">
        <f t="shared" si="14"/>
        <v>221888047.83915001</v>
      </c>
      <c r="L18" s="586">
        <f t="shared" si="14"/>
        <v>0</v>
      </c>
      <c r="M18" s="586">
        <f t="shared" si="14"/>
        <v>707960635.4408232</v>
      </c>
      <c r="N18" s="586">
        <f t="shared" si="14"/>
        <v>339821105.01159507</v>
      </c>
      <c r="O18" s="586">
        <f t="shared" si="14"/>
        <v>0</v>
      </c>
      <c r="P18" s="586">
        <f t="shared" si="14"/>
        <v>8893549400.2569656</v>
      </c>
      <c r="Q18" s="586">
        <f t="shared" si="14"/>
        <v>0</v>
      </c>
      <c r="R18" s="586">
        <f t="shared" si="14"/>
        <v>0</v>
      </c>
      <c r="S18" s="586">
        <f t="shared" si="14"/>
        <v>0</v>
      </c>
      <c r="T18" s="586">
        <f t="shared" si="14"/>
        <v>0</v>
      </c>
      <c r="U18" s="586">
        <f t="shared" si="14"/>
        <v>0</v>
      </c>
      <c r="V18" s="586">
        <f t="shared" si="14"/>
        <v>8893549400.2569656</v>
      </c>
      <c r="W18" s="586">
        <f t="shared" si="14"/>
        <v>498404287.35033935</v>
      </c>
      <c r="X18" s="586">
        <f t="shared" si="14"/>
        <v>31020000</v>
      </c>
      <c r="Y18" s="586">
        <f t="shared" si="14"/>
        <v>28176260.043066666</v>
      </c>
      <c r="Z18" s="586">
        <f t="shared" si="14"/>
        <v>557600547.39340603</v>
      </c>
      <c r="AA18" s="586">
        <f t="shared" si="14"/>
        <v>0</v>
      </c>
      <c r="AB18" s="586">
        <f t="shared" si="14"/>
        <v>0</v>
      </c>
      <c r="AC18" s="586">
        <f t="shared" si="14"/>
        <v>0</v>
      </c>
      <c r="AD18" s="586">
        <f t="shared" si="14"/>
        <v>0</v>
      </c>
      <c r="AE18" s="586">
        <f t="shared" si="14"/>
        <v>0</v>
      </c>
      <c r="AF18" s="586">
        <f t="shared" si="14"/>
        <v>557600547.39340603</v>
      </c>
      <c r="AG18" s="586">
        <f t="shared" si="14"/>
        <v>967197400</v>
      </c>
      <c r="AH18" s="586">
        <f t="shared" si="14"/>
        <v>685098300</v>
      </c>
      <c r="AI18" s="586">
        <f t="shared" si="14"/>
        <v>788750723.93572545</v>
      </c>
      <c r="AJ18" s="586">
        <f t="shared" si="14"/>
        <v>348600500</v>
      </c>
      <c r="AK18" s="586">
        <f t="shared" si="14"/>
        <v>42073000</v>
      </c>
      <c r="AL18" s="586">
        <f t="shared" si="14"/>
        <v>261450400</v>
      </c>
      <c r="AM18" s="586">
        <f t="shared" si="14"/>
        <v>43575100</v>
      </c>
      <c r="AN18" s="586">
        <f t="shared" si="14"/>
        <v>43575100</v>
      </c>
      <c r="AO18" s="586">
        <f t="shared" si="14"/>
        <v>87150100</v>
      </c>
      <c r="AP18" s="586">
        <f t="shared" si="14"/>
        <v>0</v>
      </c>
      <c r="AQ18" s="604">
        <f t="shared" si="14"/>
        <v>3267470623.9357252</v>
      </c>
      <c r="AR18" s="586">
        <f t="shared" si="14"/>
        <v>42035000</v>
      </c>
      <c r="AS18" s="586">
        <f t="shared" si="14"/>
        <v>0</v>
      </c>
      <c r="AT18" s="605">
        <f t="shared" si="14"/>
        <v>42035000</v>
      </c>
      <c r="AU18" s="586">
        <f t="shared" si="14"/>
        <v>12718620571.586098</v>
      </c>
      <c r="AV18" s="547"/>
      <c r="AW18" s="547"/>
      <c r="AX18" s="547"/>
      <c r="AY18" s="547"/>
      <c r="AZ18" s="547"/>
    </row>
    <row r="19" spans="1:52" s="530" customFormat="1" ht="12" thickTop="1" x14ac:dyDescent="0.2">
      <c r="A19" s="606" t="s">
        <v>1254</v>
      </c>
      <c r="B19" s="588" t="s">
        <v>1255</v>
      </c>
      <c r="C19" s="589">
        <f>1+7</f>
        <v>8</v>
      </c>
      <c r="D19" s="590">
        <f>10986254*1.034</f>
        <v>11359786.636</v>
      </c>
      <c r="E19" s="590">
        <f>((D19*11)+D19/30*8)*C19</f>
        <v>1023895435.4581332</v>
      </c>
      <c r="F19" s="590"/>
      <c r="G19" s="591">
        <f t="shared" ref="G19:G27" si="15">+((D19*11+D19/30*30)*50/100)*C19</f>
        <v>545269758.528</v>
      </c>
      <c r="H19" s="590"/>
      <c r="I19" s="590"/>
      <c r="J19" s="591">
        <f>+((D19+(D19/2)+H19+(K19/12/C19))/720*360)*C19</f>
        <v>70146682.477300003</v>
      </c>
      <c r="K19" s="591">
        <f>IF(D19&gt;$D$56,(D19+(D19/2))*0.35,(D19+(D19/2))*0.5)*C19</f>
        <v>47711103.871199995</v>
      </c>
      <c r="L19" s="590"/>
      <c r="M19" s="591">
        <f>+(D19+(D19/2)+(((H19+J19+K19+N19)/12)/C19)/360*360)*C19</f>
        <v>152228043.57052952</v>
      </c>
      <c r="N19" s="590">
        <f>+((D19+(D19/2)+(H19/12/C19)+(J19/12/C19)+(K19/12/C19))/30*15)*C19</f>
        <v>73069460.913854167</v>
      </c>
      <c r="O19" s="590"/>
      <c r="P19" s="592">
        <f t="shared" ref="P19:P27" si="16">SUM(E19:O19)</f>
        <v>1912320484.8190167</v>
      </c>
      <c r="Q19" s="590"/>
      <c r="R19" s="590"/>
      <c r="S19" s="590"/>
      <c r="T19" s="590"/>
      <c r="U19" s="590">
        <f>SUM(Q19:T19)</f>
        <v>0</v>
      </c>
      <c r="V19" s="592">
        <f>P19+U19</f>
        <v>1912320484.8190167</v>
      </c>
      <c r="W19" s="590">
        <f>+((D19+((D19)/2)+H19+(K19/12/C19)+(J19/12/C19))/30*22)*C19</f>
        <v>107168542.67365278</v>
      </c>
      <c r="X19" s="590">
        <f>30000000*1.034</f>
        <v>31020000</v>
      </c>
      <c r="Y19" s="590">
        <f t="shared" ref="Y19:Y27" si="17">(D19/30*2)*C19</f>
        <v>6058552.8725333335</v>
      </c>
      <c r="Z19" s="592">
        <f>SUM(W19:Y19)</f>
        <v>144247095.54618609</v>
      </c>
      <c r="AA19" s="591"/>
      <c r="AB19" s="590"/>
      <c r="AC19" s="590"/>
      <c r="AD19" s="590"/>
      <c r="AE19" s="592">
        <f>SUM(AA19:AD19)</f>
        <v>0</v>
      </c>
      <c r="AF19" s="593">
        <f>Z19+AE19</f>
        <v>144247095.54618609</v>
      </c>
      <c r="AG19" s="600">
        <f t="shared" ref="AG19:AG27" si="18">ROUND(((E19+F19+G19+K19+L19+W19+AR19)*12%),-2)</f>
        <v>208467000</v>
      </c>
      <c r="AH19" s="596">
        <f t="shared" ref="AH19:AH27" si="19">ROUND(((E19+F19+G19+K19+L19+W19+AR19)*8.5%),-2)</f>
        <v>147664100</v>
      </c>
      <c r="AI19" s="601">
        <f t="shared" ref="AI19:AI27" si="20">+(E19+F19+G19+H19+J19+K19+L19+M19+N19+W19+X19+AR19)*8.333333333/100</f>
        <v>171974085.6175102</v>
      </c>
      <c r="AJ19" s="596">
        <f t="shared" ref="AJ19:AJ27" si="21">+ROUND((E19+F19+G19+H19+J19+K19+L19+N19+W19+X19)*4/100,-2)</f>
        <v>75931200</v>
      </c>
      <c r="AK19" s="601">
        <f t="shared" ref="AK19:AK27" si="22">ROUND(((E19+F19+G19+K19+L19+W19+AR19)*0.522%),-2)</f>
        <v>9068300</v>
      </c>
      <c r="AL19" s="596">
        <f t="shared" ref="AL19:AL27" si="23">+ROUND((+E19+F19+G19+H19+J19+K19+L19+N19+W19+X19)*3/100,-2)</f>
        <v>56948400</v>
      </c>
      <c r="AM19" s="601">
        <f t="shared" ref="AM19:AM27" si="24">+ROUND((E19+F19+G19+H19+J19+K19+L19+N19+W19+X19)*0.5/100,-2)</f>
        <v>9491400</v>
      </c>
      <c r="AN19" s="596">
        <f t="shared" ref="AN19:AN27" si="25">+ROUND((+E19+F19+G19+H19+J19+K19+L19+N19+W19+X19)*0.5/100,-2)</f>
        <v>9491400</v>
      </c>
      <c r="AO19" s="590">
        <f t="shared" ref="AO19:AO27" si="26">+ROUND((E19+F19+G19+H19+J19+K19+L19+N19+W19+X19)*1/100,-2)</f>
        <v>18982800</v>
      </c>
      <c r="AP19" s="607"/>
      <c r="AQ19" s="595">
        <f t="shared" ref="AQ19:AQ20" si="27">SUM(AG19:AP19)</f>
        <v>708018685.6175102</v>
      </c>
      <c r="AR19" s="596">
        <f>522500*C19+9000000</f>
        <v>13180000</v>
      </c>
      <c r="AS19" s="596"/>
      <c r="AT19" s="597">
        <f>SUM(AR19:AS19)</f>
        <v>13180000</v>
      </c>
      <c r="AU19" s="592">
        <f>V19+AF19+AQ19</f>
        <v>2764586265.9827132</v>
      </c>
      <c r="AV19" s="547"/>
      <c r="AW19" s="547"/>
      <c r="AX19" s="547"/>
      <c r="AY19" s="547"/>
      <c r="AZ19" s="547"/>
    </row>
    <row r="20" spans="1:52" s="530" customFormat="1" ht="11.25" x14ac:dyDescent="0.2">
      <c r="A20" s="606" t="s">
        <v>1256</v>
      </c>
      <c r="B20" s="588" t="s">
        <v>1257</v>
      </c>
      <c r="C20" s="589">
        <f>8+2</f>
        <v>10</v>
      </c>
      <c r="D20" s="590">
        <f>10121518*1.034</f>
        <v>10465649.612</v>
      </c>
      <c r="E20" s="590">
        <f>((D20*11)+D20/30*8)*C20</f>
        <v>1179129856.2853334</v>
      </c>
      <c r="F20" s="590"/>
      <c r="G20" s="591">
        <f t="shared" si="15"/>
        <v>627938976.72000003</v>
      </c>
      <c r="H20" s="590"/>
      <c r="I20" s="590"/>
      <c r="J20" s="591">
        <f>+((D20+(D20/2)+H20+(K20/12/C20))/720*360)*C20</f>
        <v>80781732.942624986</v>
      </c>
      <c r="K20" s="591">
        <f>IF(D20&gt;$D$56,(D20+(D20/2))*0.35,(D20+(D20/2))*0.5)*C20</f>
        <v>54944660.463</v>
      </c>
      <c r="L20" s="590"/>
      <c r="M20" s="591">
        <f>+(D20+(D20/2)+(((H20+J20+K20+N20)/12)/C20)/360*360)*C20</f>
        <v>175307580.17062718</v>
      </c>
      <c r="N20" s="590">
        <f>+((D20+(D20/2)+(H20/12/C20)+(J20/12/C20)+(K20/12/C20))/30*15)*C20</f>
        <v>84147638.48190105</v>
      </c>
      <c r="O20" s="590"/>
      <c r="P20" s="592">
        <f t="shared" si="16"/>
        <v>2202250445.0634866</v>
      </c>
      <c r="Q20" s="590"/>
      <c r="R20" s="590"/>
      <c r="S20" s="590"/>
      <c r="T20" s="590"/>
      <c r="U20" s="590">
        <f t="shared" ref="U20:U27" si="28">SUM(Q20:T20)</f>
        <v>0</v>
      </c>
      <c r="V20" s="592">
        <f t="shared" ref="V20:V27" si="29">P20+U20</f>
        <v>2202250445.0634866</v>
      </c>
      <c r="W20" s="590">
        <f t="shared" ref="W20:W27" si="30">+((D20+((D20)/2)+H20+(K20/12/C20)+(J20/12/C20))/30*22)*C20</f>
        <v>123416536.44012152</v>
      </c>
      <c r="X20" s="590"/>
      <c r="Y20" s="590">
        <f t="shared" si="17"/>
        <v>6977099.7413333328</v>
      </c>
      <c r="Z20" s="592">
        <f>SUM(W20:Y20)</f>
        <v>130393636.18145485</v>
      </c>
      <c r="AA20" s="591"/>
      <c r="AB20" s="590"/>
      <c r="AC20" s="590"/>
      <c r="AD20" s="590"/>
      <c r="AE20" s="592">
        <f t="shared" ref="AE20" si="31">SUM(AA20:AD20)</f>
        <v>0</v>
      </c>
      <c r="AF20" s="593">
        <f>Z20+AE20</f>
        <v>130393636.18145485</v>
      </c>
      <c r="AG20" s="600">
        <f t="shared" si="18"/>
        <v>239958600</v>
      </c>
      <c r="AH20" s="596">
        <f t="shared" si="19"/>
        <v>169970700</v>
      </c>
      <c r="AI20" s="601">
        <f t="shared" si="20"/>
        <v>194990998.45083439</v>
      </c>
      <c r="AJ20" s="596">
        <f t="shared" si="21"/>
        <v>86014400</v>
      </c>
      <c r="AK20" s="601">
        <f t="shared" si="22"/>
        <v>10438200</v>
      </c>
      <c r="AL20" s="596">
        <f t="shared" si="23"/>
        <v>64510800</v>
      </c>
      <c r="AM20" s="601">
        <f t="shared" si="24"/>
        <v>10751800</v>
      </c>
      <c r="AN20" s="596">
        <f t="shared" si="25"/>
        <v>10751800</v>
      </c>
      <c r="AO20" s="590">
        <f t="shared" si="26"/>
        <v>21503600</v>
      </c>
      <c r="AP20" s="590"/>
      <c r="AQ20" s="608">
        <f t="shared" si="27"/>
        <v>808890898.45083439</v>
      </c>
      <c r="AR20" s="596">
        <f>522500*C20+9000000</f>
        <v>14225000</v>
      </c>
      <c r="AS20" s="596"/>
      <c r="AT20" s="597">
        <f t="shared" ref="AT20" si="32">SUM(AR20:AS20)</f>
        <v>14225000</v>
      </c>
      <c r="AU20" s="592">
        <f t="shared" ref="AU20:AU27" si="33">V20+AF20+AQ20</f>
        <v>3141534979.6957755</v>
      </c>
      <c r="AV20" s="547"/>
      <c r="AW20" s="547"/>
      <c r="AX20" s="547"/>
      <c r="AY20" s="547"/>
      <c r="AZ20" s="547"/>
    </row>
    <row r="21" spans="1:52" s="530" customFormat="1" ht="11.25" x14ac:dyDescent="0.2">
      <c r="A21" s="606" t="s">
        <v>1258</v>
      </c>
      <c r="B21" s="588" t="s">
        <v>1259</v>
      </c>
      <c r="C21" s="589">
        <f>5+3</f>
        <v>8</v>
      </c>
      <c r="D21" s="590">
        <f>9161181*1.034</f>
        <v>9472661.154000001</v>
      </c>
      <c r="E21" s="590">
        <f t="shared" ref="E21:E27" si="34">((D21*11)+D21/30*8)*C21</f>
        <v>853802525.34720004</v>
      </c>
      <c r="F21" s="590"/>
      <c r="G21" s="591">
        <f t="shared" si="15"/>
        <v>454687735.39200002</v>
      </c>
      <c r="H21" s="590"/>
      <c r="I21" s="590"/>
      <c r="J21" s="591">
        <f t="shared" ref="J21:J27" si="35">+((D21+(D21/2)+H21+(K21/12/C21))/720*360)*C21</f>
        <v>58493682.625950016</v>
      </c>
      <c r="K21" s="591">
        <f t="shared" ref="K21:K27" si="36">IF(D21&gt;$D$56,(D21+(D21/2))*0.35,(D21+(D21/2))*0.5)*C21</f>
        <v>39785176.846800007</v>
      </c>
      <c r="L21" s="590"/>
      <c r="M21" s="591">
        <f t="shared" ref="M21:M27" si="37">+(D21+(D21/2)+(((H21+J21+K21+N21)/12)/C21)/360*360)*C21</f>
        <v>126939415.42089847</v>
      </c>
      <c r="N21" s="590">
        <f t="shared" ref="N21:N27" si="38">+((D21+(D21/2)+(H21/12/C21)+(J21/12/C21)+(K21/12/C21))/30*15)*C21</f>
        <v>60930919.402031258</v>
      </c>
      <c r="O21" s="590"/>
      <c r="P21" s="592">
        <f t="shared" si="16"/>
        <v>1594639455.0348799</v>
      </c>
      <c r="Q21" s="590"/>
      <c r="R21" s="590"/>
      <c r="S21" s="590"/>
      <c r="T21" s="590"/>
      <c r="U21" s="590">
        <f t="shared" si="28"/>
        <v>0</v>
      </c>
      <c r="V21" s="592">
        <f t="shared" si="29"/>
        <v>1594639455.0348799</v>
      </c>
      <c r="W21" s="590">
        <f t="shared" si="30"/>
        <v>89365348.456312507</v>
      </c>
      <c r="X21" s="590"/>
      <c r="Y21" s="590">
        <f t="shared" si="17"/>
        <v>5052085.9488000004</v>
      </c>
      <c r="Z21" s="592">
        <f t="shared" ref="Z21:Z27" si="39">SUM(W21:Y21)</f>
        <v>94417434.405112505</v>
      </c>
      <c r="AA21" s="591">
        <f>+((A8*0.5)*12)*C21</f>
        <v>0</v>
      </c>
      <c r="AB21" s="590"/>
      <c r="AC21" s="590"/>
      <c r="AD21" s="590"/>
      <c r="AE21" s="592">
        <f t="shared" ref="AE21:AE27" si="40">SUM(AA21:AD21)</f>
        <v>0</v>
      </c>
      <c r="AF21" s="593">
        <f t="shared" ref="AF21:AF27" si="41">Z21+AE21</f>
        <v>94417434.405112505</v>
      </c>
      <c r="AG21" s="600">
        <f t="shared" si="18"/>
        <v>173018500</v>
      </c>
      <c r="AH21" s="596">
        <f t="shared" si="19"/>
        <v>122554800</v>
      </c>
      <c r="AI21" s="601">
        <f t="shared" si="20"/>
        <v>140682066.9519721</v>
      </c>
      <c r="AJ21" s="596">
        <f t="shared" si="21"/>
        <v>62282600</v>
      </c>
      <c r="AK21" s="601">
        <f t="shared" si="22"/>
        <v>7526300</v>
      </c>
      <c r="AL21" s="596">
        <f t="shared" si="23"/>
        <v>46712000</v>
      </c>
      <c r="AM21" s="601">
        <f t="shared" si="24"/>
        <v>7785300</v>
      </c>
      <c r="AN21" s="596">
        <f t="shared" si="25"/>
        <v>7785300</v>
      </c>
      <c r="AO21" s="590">
        <f t="shared" si="26"/>
        <v>15570700</v>
      </c>
      <c r="AP21" s="590"/>
      <c r="AQ21" s="608">
        <f t="shared" ref="AQ21:AQ27" si="42">SUM(AG21:AP21)</f>
        <v>583917566.95197213</v>
      </c>
      <c r="AR21" s="596">
        <f t="shared" ref="AR21:AR27" si="43">522500*C21</f>
        <v>4180000</v>
      </c>
      <c r="AS21" s="596"/>
      <c r="AT21" s="597">
        <f t="shared" ref="AT21:AT27" si="44">SUM(AR21:AS21)</f>
        <v>4180000</v>
      </c>
      <c r="AU21" s="592">
        <f t="shared" si="33"/>
        <v>2272974456.3919644</v>
      </c>
      <c r="AV21" s="547"/>
      <c r="AW21" s="547"/>
      <c r="AX21" s="547"/>
      <c r="AY21" s="547"/>
      <c r="AZ21" s="547"/>
    </row>
    <row r="22" spans="1:52" s="530" customFormat="1" ht="11.25" x14ac:dyDescent="0.2">
      <c r="A22" s="606" t="s">
        <v>1260</v>
      </c>
      <c r="B22" s="588" t="s">
        <v>1261</v>
      </c>
      <c r="C22" s="589">
        <v>6</v>
      </c>
      <c r="D22" s="590">
        <f>8337270*1.034</f>
        <v>8620737.1799999997</v>
      </c>
      <c r="E22" s="590">
        <f t="shared" si="34"/>
        <v>582761833.36799991</v>
      </c>
      <c r="F22" s="590"/>
      <c r="G22" s="591">
        <f t="shared" si="15"/>
        <v>310346538.48000002</v>
      </c>
      <c r="H22" s="590"/>
      <c r="I22" s="590"/>
      <c r="J22" s="591">
        <f t="shared" si="35"/>
        <v>39924789.064874999</v>
      </c>
      <c r="K22" s="591">
        <f t="shared" si="36"/>
        <v>27155322.116999999</v>
      </c>
      <c r="L22" s="590"/>
      <c r="M22" s="591">
        <f t="shared" si="37"/>
        <v>86642337.380371094</v>
      </c>
      <c r="N22" s="590">
        <f t="shared" si="38"/>
        <v>41588321.942578122</v>
      </c>
      <c r="O22" s="590"/>
      <c r="P22" s="592">
        <f t="shared" si="16"/>
        <v>1088419142.3528242</v>
      </c>
      <c r="Q22" s="590"/>
      <c r="R22" s="590"/>
      <c r="S22" s="590"/>
      <c r="T22" s="590"/>
      <c r="U22" s="590">
        <f t="shared" si="28"/>
        <v>0</v>
      </c>
      <c r="V22" s="592">
        <f t="shared" si="29"/>
        <v>1088419142.3528242</v>
      </c>
      <c r="W22" s="590">
        <f t="shared" si="30"/>
        <v>60996205.515781246</v>
      </c>
      <c r="X22" s="590"/>
      <c r="Y22" s="590">
        <f t="shared" si="17"/>
        <v>3448294.8720000004</v>
      </c>
      <c r="Z22" s="592">
        <f t="shared" si="39"/>
        <v>64444500.387781247</v>
      </c>
      <c r="AA22" s="591"/>
      <c r="AB22" s="590"/>
      <c r="AC22" s="590"/>
      <c r="AD22" s="590"/>
      <c r="AE22" s="592">
        <f t="shared" ref="AE22" si="45">SUM(AA22:AD22)</f>
        <v>0</v>
      </c>
      <c r="AF22" s="593">
        <f t="shared" si="41"/>
        <v>64444500.387781247</v>
      </c>
      <c r="AG22" s="600">
        <f t="shared" si="18"/>
        <v>118127400</v>
      </c>
      <c r="AH22" s="596">
        <f t="shared" si="19"/>
        <v>83673600</v>
      </c>
      <c r="AI22" s="601">
        <f t="shared" si="20"/>
        <v>96045862.318541944</v>
      </c>
      <c r="AJ22" s="596">
        <f t="shared" si="21"/>
        <v>42510900</v>
      </c>
      <c r="AK22" s="601">
        <f t="shared" si="22"/>
        <v>5138500</v>
      </c>
      <c r="AL22" s="596">
        <f t="shared" si="23"/>
        <v>31883200</v>
      </c>
      <c r="AM22" s="601">
        <f t="shared" si="24"/>
        <v>5313900</v>
      </c>
      <c r="AN22" s="596">
        <f t="shared" si="25"/>
        <v>5313900</v>
      </c>
      <c r="AO22" s="590">
        <f t="shared" si="26"/>
        <v>10627700</v>
      </c>
      <c r="AP22" s="590"/>
      <c r="AQ22" s="608">
        <f t="shared" ref="AQ22" si="46">SUM(AG22:AP22)</f>
        <v>398634962.31854194</v>
      </c>
      <c r="AR22" s="596">
        <f t="shared" si="43"/>
        <v>3135000</v>
      </c>
      <c r="AS22" s="596"/>
      <c r="AT22" s="597">
        <f t="shared" si="44"/>
        <v>3135000</v>
      </c>
      <c r="AU22" s="592">
        <f t="shared" si="33"/>
        <v>1551498605.0591474</v>
      </c>
      <c r="AV22" s="547"/>
      <c r="AW22" s="547"/>
      <c r="AX22" s="547"/>
      <c r="AY22" s="547"/>
      <c r="AZ22" s="547"/>
    </row>
    <row r="23" spans="1:52" s="530" customFormat="1" ht="11.25" x14ac:dyDescent="0.2">
      <c r="A23" s="606" t="s">
        <v>1262</v>
      </c>
      <c r="B23" s="588" t="s">
        <v>1263</v>
      </c>
      <c r="C23" s="589">
        <v>3</v>
      </c>
      <c r="D23" s="590">
        <f>8169203*1.034</f>
        <v>8446955.9020000007</v>
      </c>
      <c r="E23" s="590">
        <f t="shared" si="34"/>
        <v>285507109.48760003</v>
      </c>
      <c r="F23" s="590"/>
      <c r="G23" s="591">
        <f t="shared" si="15"/>
        <v>152045206.236</v>
      </c>
      <c r="H23" s="590"/>
      <c r="I23" s="590"/>
      <c r="J23" s="591">
        <f t="shared" si="35"/>
        <v>19559982.260568745</v>
      </c>
      <c r="K23" s="591">
        <f t="shared" si="36"/>
        <v>13303955.545649998</v>
      </c>
      <c r="L23" s="590"/>
      <c r="M23" s="591">
        <f t="shared" si="37"/>
        <v>42447878.169637047</v>
      </c>
      <c r="N23" s="590">
        <f t="shared" si="38"/>
        <v>20374981.52142578</v>
      </c>
      <c r="O23" s="590"/>
      <c r="P23" s="592">
        <f t="shared" si="16"/>
        <v>533239113.22088158</v>
      </c>
      <c r="Q23" s="590"/>
      <c r="R23" s="590"/>
      <c r="S23" s="590"/>
      <c r="T23" s="590"/>
      <c r="U23" s="590">
        <f t="shared" si="28"/>
        <v>0</v>
      </c>
      <c r="V23" s="592">
        <f t="shared" si="29"/>
        <v>533239113.22088158</v>
      </c>
      <c r="W23" s="590">
        <f t="shared" si="30"/>
        <v>29883306.231424473</v>
      </c>
      <c r="X23" s="590"/>
      <c r="Y23" s="590">
        <f t="shared" si="17"/>
        <v>1689391.1804</v>
      </c>
      <c r="Z23" s="592">
        <f t="shared" si="39"/>
        <v>31572697.411824472</v>
      </c>
      <c r="AA23" s="591">
        <f>+((A8*0.5)*12)*C23</f>
        <v>0</v>
      </c>
      <c r="AB23" s="590"/>
      <c r="AC23" s="590"/>
      <c r="AD23" s="590"/>
      <c r="AE23" s="592">
        <f t="shared" si="40"/>
        <v>0</v>
      </c>
      <c r="AF23" s="593">
        <f t="shared" si="41"/>
        <v>31572697.411824472</v>
      </c>
      <c r="AG23" s="600">
        <f t="shared" si="18"/>
        <v>57876800</v>
      </c>
      <c r="AH23" s="596">
        <f t="shared" si="19"/>
        <v>40996100</v>
      </c>
      <c r="AI23" s="601">
        <f t="shared" si="20"/>
        <v>47057493.285809867</v>
      </c>
      <c r="AJ23" s="596">
        <f t="shared" si="21"/>
        <v>20827000</v>
      </c>
      <c r="AK23" s="601">
        <f t="shared" si="22"/>
        <v>2517600</v>
      </c>
      <c r="AL23" s="596">
        <f t="shared" si="23"/>
        <v>15620200</v>
      </c>
      <c r="AM23" s="601">
        <f t="shared" si="24"/>
        <v>2603400</v>
      </c>
      <c r="AN23" s="596">
        <f t="shared" si="25"/>
        <v>2603400</v>
      </c>
      <c r="AO23" s="590">
        <f t="shared" si="26"/>
        <v>5206700</v>
      </c>
      <c r="AP23" s="590"/>
      <c r="AQ23" s="608">
        <f t="shared" si="42"/>
        <v>195308693.28580987</v>
      </c>
      <c r="AR23" s="596">
        <f t="shared" si="43"/>
        <v>1567500</v>
      </c>
      <c r="AS23" s="596"/>
      <c r="AT23" s="597">
        <f t="shared" si="44"/>
        <v>1567500</v>
      </c>
      <c r="AU23" s="592">
        <f t="shared" si="33"/>
        <v>760120503.91851592</v>
      </c>
      <c r="AV23" s="547"/>
      <c r="AW23" s="547"/>
      <c r="AX23" s="547"/>
      <c r="AY23" s="547"/>
      <c r="AZ23" s="547"/>
    </row>
    <row r="24" spans="1:52" s="530" customFormat="1" ht="11.25" x14ac:dyDescent="0.2">
      <c r="A24" s="606" t="s">
        <v>1264</v>
      </c>
      <c r="B24" s="588" t="s">
        <v>1265</v>
      </c>
      <c r="C24" s="589">
        <v>2</v>
      </c>
      <c r="D24" s="590">
        <f>7739256*1.034</f>
        <v>8002390.7039999999</v>
      </c>
      <c r="E24" s="590">
        <f t="shared" si="34"/>
        <v>180320537.19679999</v>
      </c>
      <c r="F24" s="590"/>
      <c r="G24" s="591">
        <f t="shared" si="15"/>
        <v>96028688.447999999</v>
      </c>
      <c r="H24" s="590"/>
      <c r="I24" s="590"/>
      <c r="J24" s="591">
        <f t="shared" si="35"/>
        <v>12353690.649300002</v>
      </c>
      <c r="K24" s="591">
        <f t="shared" si="36"/>
        <v>8402510.2391999997</v>
      </c>
      <c r="L24" s="590"/>
      <c r="M24" s="591">
        <f t="shared" si="37"/>
        <v>26809224.499348957</v>
      </c>
      <c r="N24" s="590">
        <f t="shared" si="38"/>
        <v>12868427.7596875</v>
      </c>
      <c r="O24" s="590"/>
      <c r="P24" s="592">
        <f t="shared" si="16"/>
        <v>336783078.7923364</v>
      </c>
      <c r="Q24" s="590"/>
      <c r="R24" s="590"/>
      <c r="S24" s="590"/>
      <c r="T24" s="590"/>
      <c r="U24" s="590">
        <f t="shared" si="28"/>
        <v>0</v>
      </c>
      <c r="V24" s="592">
        <f t="shared" si="29"/>
        <v>336783078.7923364</v>
      </c>
      <c r="W24" s="590">
        <f t="shared" si="30"/>
        <v>18873694.047541667</v>
      </c>
      <c r="X24" s="590"/>
      <c r="Y24" s="590">
        <f t="shared" si="17"/>
        <v>1066985.4272</v>
      </c>
      <c r="Z24" s="592">
        <f t="shared" si="39"/>
        <v>19940679.474741668</v>
      </c>
      <c r="AA24" s="591">
        <f>+((A8*0.5)*12)*C24</f>
        <v>0</v>
      </c>
      <c r="AB24" s="590"/>
      <c r="AC24" s="590"/>
      <c r="AD24" s="590"/>
      <c r="AE24" s="592">
        <f t="shared" si="40"/>
        <v>0</v>
      </c>
      <c r="AF24" s="593">
        <f t="shared" si="41"/>
        <v>19940679.474741668</v>
      </c>
      <c r="AG24" s="600">
        <f t="shared" si="18"/>
        <v>36560500</v>
      </c>
      <c r="AH24" s="596">
        <f t="shared" si="19"/>
        <v>25897000</v>
      </c>
      <c r="AI24" s="601">
        <f t="shared" si="20"/>
        <v>29725147.735467501</v>
      </c>
      <c r="AJ24" s="596">
        <f t="shared" si="21"/>
        <v>13153900</v>
      </c>
      <c r="AK24" s="601">
        <f t="shared" si="22"/>
        <v>1590400</v>
      </c>
      <c r="AL24" s="596">
        <f t="shared" si="23"/>
        <v>9865400</v>
      </c>
      <c r="AM24" s="601">
        <f t="shared" si="24"/>
        <v>1644200</v>
      </c>
      <c r="AN24" s="596">
        <f t="shared" si="25"/>
        <v>1644200</v>
      </c>
      <c r="AO24" s="590">
        <f t="shared" si="26"/>
        <v>3288500</v>
      </c>
      <c r="AP24" s="590"/>
      <c r="AQ24" s="608">
        <f t="shared" si="42"/>
        <v>123369247.73546749</v>
      </c>
      <c r="AR24" s="596">
        <f t="shared" si="43"/>
        <v>1045000</v>
      </c>
      <c r="AS24" s="596"/>
      <c r="AT24" s="597">
        <f t="shared" si="44"/>
        <v>1045000</v>
      </c>
      <c r="AU24" s="592">
        <f t="shared" si="33"/>
        <v>480093006.00254554</v>
      </c>
      <c r="AV24" s="547"/>
      <c r="AW24" s="547"/>
      <c r="AX24" s="547"/>
      <c r="AY24" s="547"/>
      <c r="AZ24" s="547"/>
    </row>
    <row r="25" spans="1:52" s="530" customFormat="1" ht="11.25" x14ac:dyDescent="0.2">
      <c r="A25" s="606" t="s">
        <v>1266</v>
      </c>
      <c r="B25" s="588" t="s">
        <v>1267</v>
      </c>
      <c r="C25" s="589">
        <f>1+1</f>
        <v>2</v>
      </c>
      <c r="D25" s="590">
        <f>7058803*1.034</f>
        <v>7298802.3020000001</v>
      </c>
      <c r="E25" s="590">
        <f t="shared" si="34"/>
        <v>164466345.20506665</v>
      </c>
      <c r="F25" s="590"/>
      <c r="G25" s="591">
        <f t="shared" si="15"/>
        <v>87585627.623999998</v>
      </c>
      <c r="H25" s="590"/>
      <c r="I25" s="590"/>
      <c r="J25" s="591">
        <f t="shared" si="35"/>
        <v>11267526.0537125</v>
      </c>
      <c r="K25" s="591">
        <f t="shared" si="36"/>
        <v>7663742.4170999993</v>
      </c>
      <c r="L25" s="590"/>
      <c r="M25" s="591">
        <f t="shared" si="37"/>
        <v>24452096.470730253</v>
      </c>
      <c r="N25" s="590">
        <f t="shared" si="38"/>
        <v>11737006.305950521</v>
      </c>
      <c r="O25" s="590"/>
      <c r="P25" s="592">
        <f t="shared" si="16"/>
        <v>307172344.0765599</v>
      </c>
      <c r="Q25" s="590"/>
      <c r="R25" s="590"/>
      <c r="S25" s="590"/>
      <c r="T25" s="590"/>
      <c r="U25" s="590">
        <f t="shared" si="28"/>
        <v>0</v>
      </c>
      <c r="V25" s="592">
        <f t="shared" si="29"/>
        <v>307172344.0765599</v>
      </c>
      <c r="W25" s="590">
        <f t="shared" si="30"/>
        <v>17214275.915394098</v>
      </c>
      <c r="X25" s="590"/>
      <c r="Y25" s="590">
        <f t="shared" si="17"/>
        <v>973173.64026666665</v>
      </c>
      <c r="Z25" s="592">
        <f t="shared" si="39"/>
        <v>18187449.555660766</v>
      </c>
      <c r="AA25" s="591">
        <f>+((A8*0.5)*12)*C25</f>
        <v>0</v>
      </c>
      <c r="AB25" s="590"/>
      <c r="AC25" s="590"/>
      <c r="AD25" s="590"/>
      <c r="AE25" s="592">
        <f t="shared" si="40"/>
        <v>0</v>
      </c>
      <c r="AF25" s="593">
        <f t="shared" si="41"/>
        <v>18187449.555660766</v>
      </c>
      <c r="AG25" s="600">
        <f t="shared" si="18"/>
        <v>33357000</v>
      </c>
      <c r="AH25" s="596">
        <f t="shared" si="19"/>
        <v>23627900</v>
      </c>
      <c r="AI25" s="601">
        <f t="shared" si="20"/>
        <v>27119301.664911393</v>
      </c>
      <c r="AJ25" s="596">
        <f t="shared" si="21"/>
        <v>11997400</v>
      </c>
      <c r="AK25" s="601">
        <f t="shared" si="22"/>
        <v>1451000</v>
      </c>
      <c r="AL25" s="596">
        <f t="shared" si="23"/>
        <v>8998000</v>
      </c>
      <c r="AM25" s="601">
        <f t="shared" si="24"/>
        <v>1499700</v>
      </c>
      <c r="AN25" s="596">
        <f t="shared" si="25"/>
        <v>1499700</v>
      </c>
      <c r="AO25" s="590">
        <f t="shared" si="26"/>
        <v>2999300</v>
      </c>
      <c r="AP25" s="590"/>
      <c r="AQ25" s="608">
        <f t="shared" si="42"/>
        <v>112549301.66491139</v>
      </c>
      <c r="AR25" s="596">
        <f t="shared" si="43"/>
        <v>1045000</v>
      </c>
      <c r="AS25" s="596"/>
      <c r="AT25" s="597">
        <f t="shared" si="44"/>
        <v>1045000</v>
      </c>
      <c r="AU25" s="592">
        <f t="shared" si="33"/>
        <v>437909095.29713207</v>
      </c>
      <c r="AV25" s="547"/>
      <c r="AW25" s="547"/>
      <c r="AX25" s="547"/>
      <c r="AY25" s="547"/>
      <c r="AZ25" s="547"/>
    </row>
    <row r="26" spans="1:52" s="530" customFormat="1" ht="11.25" x14ac:dyDescent="0.2">
      <c r="A26" s="606" t="s">
        <v>1268</v>
      </c>
      <c r="B26" s="588" t="s">
        <v>1269</v>
      </c>
      <c r="C26" s="589">
        <f>1+5</f>
        <v>6</v>
      </c>
      <c r="D26" s="590">
        <f>6146671*1.034</f>
        <v>6355657.8140000002</v>
      </c>
      <c r="E26" s="590">
        <f t="shared" si="34"/>
        <v>429642468.22640002</v>
      </c>
      <c r="F26" s="590"/>
      <c r="G26" s="591">
        <f t="shared" si="15"/>
        <v>228803681.30399996</v>
      </c>
      <c r="H26" s="590"/>
      <c r="I26" s="590"/>
      <c r="J26" s="591">
        <f t="shared" si="35"/>
        <v>29434640.251087502</v>
      </c>
      <c r="K26" s="591">
        <f t="shared" si="36"/>
        <v>20020322.114100002</v>
      </c>
      <c r="L26" s="590"/>
      <c r="M26" s="591">
        <f t="shared" si="37"/>
        <v>63877257.489339195</v>
      </c>
      <c r="N26" s="590">
        <f t="shared" si="38"/>
        <v>30661083.594882812</v>
      </c>
      <c r="O26" s="590"/>
      <c r="P26" s="592">
        <f t="shared" si="16"/>
        <v>802439452.97980964</v>
      </c>
      <c r="Q26" s="590"/>
      <c r="R26" s="590"/>
      <c r="S26" s="590"/>
      <c r="T26" s="590"/>
      <c r="U26" s="590">
        <f t="shared" si="28"/>
        <v>0</v>
      </c>
      <c r="V26" s="592">
        <f t="shared" si="29"/>
        <v>802439452.97980964</v>
      </c>
      <c r="W26" s="590">
        <f t="shared" si="30"/>
        <v>44969589.272494793</v>
      </c>
      <c r="X26" s="590"/>
      <c r="Y26" s="590">
        <f t="shared" si="17"/>
        <v>2542263.1256000004</v>
      </c>
      <c r="Z26" s="592">
        <f t="shared" si="39"/>
        <v>47511852.398094796</v>
      </c>
      <c r="AA26" s="591"/>
      <c r="AB26" s="590"/>
      <c r="AC26" s="590"/>
      <c r="AD26" s="590"/>
      <c r="AE26" s="592">
        <f t="shared" si="40"/>
        <v>0</v>
      </c>
      <c r="AF26" s="593">
        <f t="shared" si="41"/>
        <v>47511852.398094796</v>
      </c>
      <c r="AG26" s="600">
        <f t="shared" si="18"/>
        <v>87188500</v>
      </c>
      <c r="AH26" s="596">
        <f t="shared" si="19"/>
        <v>61758500</v>
      </c>
      <c r="AI26" s="601">
        <f t="shared" si="20"/>
        <v>70878670.184856892</v>
      </c>
      <c r="AJ26" s="596">
        <f t="shared" si="21"/>
        <v>31341300</v>
      </c>
      <c r="AK26" s="601">
        <f t="shared" si="22"/>
        <v>3792700</v>
      </c>
      <c r="AL26" s="596">
        <f t="shared" si="23"/>
        <v>23506000</v>
      </c>
      <c r="AM26" s="601">
        <f t="shared" si="24"/>
        <v>3917700</v>
      </c>
      <c r="AN26" s="596">
        <f t="shared" si="25"/>
        <v>3917700</v>
      </c>
      <c r="AO26" s="590">
        <f t="shared" si="26"/>
        <v>7835300</v>
      </c>
      <c r="AP26" s="590"/>
      <c r="AQ26" s="608">
        <f t="shared" si="42"/>
        <v>294136370.18485689</v>
      </c>
      <c r="AR26" s="596">
        <f t="shared" si="43"/>
        <v>3135000</v>
      </c>
      <c r="AS26" s="596"/>
      <c r="AT26" s="597">
        <f t="shared" si="44"/>
        <v>3135000</v>
      </c>
      <c r="AU26" s="609">
        <f t="shared" si="33"/>
        <v>1144087675.5627613</v>
      </c>
      <c r="AV26" s="547"/>
      <c r="AW26" s="547"/>
      <c r="AX26" s="547"/>
      <c r="AY26" s="547"/>
      <c r="AZ26" s="547"/>
    </row>
    <row r="27" spans="1:52" s="530" customFormat="1" ht="12" thickBot="1" x14ac:dyDescent="0.25">
      <c r="A27" s="606" t="s">
        <v>1270</v>
      </c>
      <c r="B27" s="588" t="s">
        <v>1271</v>
      </c>
      <c r="C27" s="589">
        <v>1</v>
      </c>
      <c r="D27" s="590">
        <f>5344486*1.034</f>
        <v>5526198.5240000002</v>
      </c>
      <c r="E27" s="590">
        <f t="shared" si="34"/>
        <v>62261836.703733332</v>
      </c>
      <c r="F27" s="590"/>
      <c r="G27" s="591">
        <f t="shared" si="15"/>
        <v>33157191.144000001</v>
      </c>
      <c r="H27" s="590"/>
      <c r="I27" s="590"/>
      <c r="J27" s="591">
        <f t="shared" si="35"/>
        <v>4265534.4857125003</v>
      </c>
      <c r="K27" s="591">
        <f t="shared" si="36"/>
        <v>2901254.2250999999</v>
      </c>
      <c r="L27" s="590"/>
      <c r="M27" s="591">
        <f t="shared" si="37"/>
        <v>9256802.2693413626</v>
      </c>
      <c r="N27" s="590">
        <f t="shared" si="38"/>
        <v>4443265.0892838547</v>
      </c>
      <c r="O27" s="590"/>
      <c r="P27" s="592">
        <f t="shared" si="16"/>
        <v>116285883.91717105</v>
      </c>
      <c r="Q27" s="590"/>
      <c r="R27" s="590"/>
      <c r="S27" s="590"/>
      <c r="T27" s="590"/>
      <c r="U27" s="590">
        <f t="shared" si="28"/>
        <v>0</v>
      </c>
      <c r="V27" s="592">
        <f t="shared" si="29"/>
        <v>116285883.91717105</v>
      </c>
      <c r="W27" s="590">
        <f t="shared" si="30"/>
        <v>6516788.7976163207</v>
      </c>
      <c r="X27" s="590"/>
      <c r="Y27" s="590">
        <f t="shared" si="17"/>
        <v>368413.23493333336</v>
      </c>
      <c r="Z27" s="592">
        <f t="shared" si="39"/>
        <v>6885202.0325496541</v>
      </c>
      <c r="AA27" s="591">
        <f>+((A8*0.5)*12)*C27</f>
        <v>0</v>
      </c>
      <c r="AB27" s="590"/>
      <c r="AC27" s="590"/>
      <c r="AD27" s="590"/>
      <c r="AE27" s="592">
        <f t="shared" si="40"/>
        <v>0</v>
      </c>
      <c r="AF27" s="593">
        <f t="shared" si="41"/>
        <v>6885202.0325496541</v>
      </c>
      <c r="AG27" s="600">
        <f t="shared" si="18"/>
        <v>12643100</v>
      </c>
      <c r="AH27" s="596">
        <f t="shared" si="19"/>
        <v>8955600</v>
      </c>
      <c r="AI27" s="601">
        <f t="shared" si="20"/>
        <v>10277097.725821197</v>
      </c>
      <c r="AJ27" s="596">
        <f t="shared" si="21"/>
        <v>4541800</v>
      </c>
      <c r="AK27" s="601">
        <f t="shared" si="22"/>
        <v>550000</v>
      </c>
      <c r="AL27" s="596">
        <f t="shared" si="23"/>
        <v>3406400</v>
      </c>
      <c r="AM27" s="601">
        <f t="shared" si="24"/>
        <v>567700</v>
      </c>
      <c r="AN27" s="596">
        <f t="shared" si="25"/>
        <v>567700</v>
      </c>
      <c r="AO27" s="590">
        <f t="shared" si="26"/>
        <v>1135500</v>
      </c>
      <c r="AP27" s="590"/>
      <c r="AQ27" s="608">
        <f t="shared" si="42"/>
        <v>42644897.725821197</v>
      </c>
      <c r="AR27" s="596">
        <f t="shared" si="43"/>
        <v>522500</v>
      </c>
      <c r="AS27" s="596"/>
      <c r="AT27" s="597">
        <f t="shared" si="44"/>
        <v>522500</v>
      </c>
      <c r="AU27" s="592">
        <f t="shared" si="33"/>
        <v>165815983.67554188</v>
      </c>
      <c r="AV27" s="547"/>
      <c r="AW27" s="547"/>
      <c r="AX27" s="547"/>
      <c r="AY27" s="547"/>
      <c r="AZ27" s="547"/>
    </row>
    <row r="28" spans="1:52" s="113" customFormat="1" ht="12.75" hidden="1" thickTop="1" thickBot="1" x14ac:dyDescent="0.25">
      <c r="A28" s="583" t="s">
        <v>1272</v>
      </c>
      <c r="B28" s="584"/>
      <c r="C28" s="610">
        <f>SUM(C29:C35)</f>
        <v>0</v>
      </c>
      <c r="D28" s="586">
        <f>SUM(D29:D35)</f>
        <v>0</v>
      </c>
      <c r="E28" s="586">
        <f>SUM(E29:E35)</f>
        <v>0</v>
      </c>
      <c r="F28" s="586">
        <f t="shared" ref="F28:O28" si="47">SUM(F29:F35)</f>
        <v>0</v>
      </c>
      <c r="G28" s="586">
        <f t="shared" si="47"/>
        <v>0</v>
      </c>
      <c r="H28" s="586">
        <f t="shared" si="47"/>
        <v>0</v>
      </c>
      <c r="I28" s="586">
        <f t="shared" si="47"/>
        <v>0</v>
      </c>
      <c r="J28" s="586">
        <f t="shared" si="47"/>
        <v>0</v>
      </c>
      <c r="K28" s="586">
        <f t="shared" si="47"/>
        <v>0</v>
      </c>
      <c r="L28" s="586">
        <f t="shared" si="47"/>
        <v>0</v>
      </c>
      <c r="M28" s="586">
        <f t="shared" si="47"/>
        <v>0</v>
      </c>
      <c r="N28" s="586">
        <f t="shared" si="47"/>
        <v>0</v>
      </c>
      <c r="O28" s="586">
        <f t="shared" si="47"/>
        <v>0</v>
      </c>
      <c r="P28" s="586">
        <f>SUM(P29:P35)</f>
        <v>0</v>
      </c>
      <c r="Q28" s="586">
        <f t="shared" ref="Q28:T28" si="48">SUM(Q29:Q35)</f>
        <v>0</v>
      </c>
      <c r="R28" s="586">
        <f t="shared" si="48"/>
        <v>0</v>
      </c>
      <c r="S28" s="586">
        <f t="shared" si="48"/>
        <v>0</v>
      </c>
      <c r="T28" s="586">
        <f t="shared" si="48"/>
        <v>0</v>
      </c>
      <c r="U28" s="586">
        <f>SUM(U29:U35)</f>
        <v>0</v>
      </c>
      <c r="V28" s="586">
        <f>SUM(V29:V35)</f>
        <v>0</v>
      </c>
      <c r="W28" s="586">
        <f t="shared" ref="W28:Y28" si="49">SUM(W29:W35)</f>
        <v>0</v>
      </c>
      <c r="X28" s="586">
        <f t="shared" si="49"/>
        <v>0</v>
      </c>
      <c r="Y28" s="586">
        <f t="shared" si="49"/>
        <v>0</v>
      </c>
      <c r="Z28" s="586">
        <f>SUM(Z29:Z35)</f>
        <v>0</v>
      </c>
      <c r="AA28" s="586">
        <f t="shared" ref="AA28:AD28" si="50">SUM(AA29:AA35)</f>
        <v>0</v>
      </c>
      <c r="AB28" s="586">
        <f t="shared" si="50"/>
        <v>0</v>
      </c>
      <c r="AC28" s="586">
        <f t="shared" si="50"/>
        <v>0</v>
      </c>
      <c r="AD28" s="586">
        <f t="shared" si="50"/>
        <v>0</v>
      </c>
      <c r="AE28" s="586">
        <f>SUM(AE29:AE35)</f>
        <v>0</v>
      </c>
      <c r="AF28" s="586">
        <f>SUM(AF29:AF35)</f>
        <v>0</v>
      </c>
      <c r="AG28" s="611">
        <f t="shared" ref="AG28:AP28" si="51">SUM(AG29:AG35)</f>
        <v>0</v>
      </c>
      <c r="AH28" s="611">
        <f t="shared" si="51"/>
        <v>0</v>
      </c>
      <c r="AI28" s="611">
        <f t="shared" si="51"/>
        <v>0</v>
      </c>
      <c r="AJ28" s="611">
        <f t="shared" si="51"/>
        <v>0</v>
      </c>
      <c r="AK28" s="611">
        <f t="shared" si="51"/>
        <v>0</v>
      </c>
      <c r="AL28" s="611">
        <f t="shared" si="51"/>
        <v>0</v>
      </c>
      <c r="AM28" s="611">
        <f t="shared" si="51"/>
        <v>0</v>
      </c>
      <c r="AN28" s="611">
        <f t="shared" si="51"/>
        <v>0</v>
      </c>
      <c r="AO28" s="611">
        <f t="shared" si="51"/>
        <v>0</v>
      </c>
      <c r="AP28" s="586">
        <f t="shared" si="51"/>
        <v>0</v>
      </c>
      <c r="AQ28" s="604">
        <f>SUM(AQ29:AQ35)</f>
        <v>0</v>
      </c>
      <c r="AR28" s="596">
        <f t="shared" ref="AR28:AR35" si="52">500000*C28</f>
        <v>0</v>
      </c>
      <c r="AS28" s="586">
        <f t="shared" ref="AS28" si="53">SUM(AS29:AS35)</f>
        <v>0</v>
      </c>
      <c r="AT28" s="605">
        <f>SUM(AT29:AT35)</f>
        <v>0</v>
      </c>
      <c r="AU28" s="586">
        <f>SUM(AU29:AU35)</f>
        <v>0</v>
      </c>
      <c r="AV28" s="547"/>
      <c r="AW28" s="547"/>
      <c r="AX28" s="547"/>
      <c r="AY28" s="547"/>
      <c r="AZ28" s="547"/>
    </row>
    <row r="29" spans="1:52" s="530" customFormat="1" ht="12" hidden="1" thickBot="1" x14ac:dyDescent="0.25">
      <c r="A29" s="606"/>
      <c r="B29" s="612"/>
      <c r="C29" s="613"/>
      <c r="D29" s="590"/>
      <c r="E29" s="590">
        <f>D29*C29*12</f>
        <v>0</v>
      </c>
      <c r="F29" s="590"/>
      <c r="G29" s="590"/>
      <c r="H29" s="590"/>
      <c r="I29" s="590"/>
      <c r="J29" s="590"/>
      <c r="K29" s="590"/>
      <c r="L29" s="590"/>
      <c r="M29" s="590"/>
      <c r="N29" s="590"/>
      <c r="O29" s="590"/>
      <c r="P29" s="590">
        <f t="shared" ref="P29:P35" si="54">SUM(E29:O29)</f>
        <v>0</v>
      </c>
      <c r="Q29" s="590"/>
      <c r="R29" s="590"/>
      <c r="S29" s="590"/>
      <c r="T29" s="590"/>
      <c r="U29" s="590">
        <f>SUM(Q29:T29)</f>
        <v>0</v>
      </c>
      <c r="V29" s="590">
        <f>P29+U29</f>
        <v>0</v>
      </c>
      <c r="W29" s="590"/>
      <c r="X29" s="590"/>
      <c r="Y29" s="590"/>
      <c r="Z29" s="590">
        <f>SUM(W29:Y29)</f>
        <v>0</v>
      </c>
      <c r="AA29" s="590"/>
      <c r="AB29" s="590"/>
      <c r="AC29" s="590"/>
      <c r="AD29" s="590"/>
      <c r="AE29" s="592">
        <f>SUM(AA29:AD29)</f>
        <v>0</v>
      </c>
      <c r="AF29" s="590">
        <f>Z29+AE29</f>
        <v>0</v>
      </c>
      <c r="AG29" s="596"/>
      <c r="AH29" s="596"/>
      <c r="AI29" s="596"/>
      <c r="AJ29" s="596"/>
      <c r="AK29" s="596"/>
      <c r="AL29" s="596"/>
      <c r="AM29" s="596"/>
      <c r="AN29" s="596"/>
      <c r="AO29" s="590"/>
      <c r="AP29" s="590"/>
      <c r="AQ29" s="614">
        <f>SUM(AG29:AP29)</f>
        <v>0</v>
      </c>
      <c r="AR29" s="596">
        <f t="shared" si="52"/>
        <v>0</v>
      </c>
      <c r="AS29" s="596"/>
      <c r="AT29" s="596">
        <f>SUM(AR29:AS29)</f>
        <v>0</v>
      </c>
      <c r="AU29" s="590">
        <f>V29+AF29+AQ29</f>
        <v>0</v>
      </c>
      <c r="AV29" s="547"/>
      <c r="AW29" s="547"/>
      <c r="AX29" s="547"/>
      <c r="AY29" s="547"/>
      <c r="AZ29" s="547"/>
    </row>
    <row r="30" spans="1:52" s="530" customFormat="1" ht="12" hidden="1" thickBot="1" x14ac:dyDescent="0.25">
      <c r="A30" s="606"/>
      <c r="B30" s="612"/>
      <c r="C30" s="613"/>
      <c r="D30" s="590"/>
      <c r="E30" s="590">
        <f t="shared" ref="E30:E35" si="55">D30*C30*12</f>
        <v>0</v>
      </c>
      <c r="F30" s="590"/>
      <c r="G30" s="590"/>
      <c r="H30" s="590"/>
      <c r="I30" s="590"/>
      <c r="J30" s="590"/>
      <c r="K30" s="590"/>
      <c r="L30" s="590"/>
      <c r="M30" s="590"/>
      <c r="N30" s="590"/>
      <c r="O30" s="590"/>
      <c r="P30" s="590">
        <f t="shared" si="54"/>
        <v>0</v>
      </c>
      <c r="Q30" s="590"/>
      <c r="R30" s="590"/>
      <c r="S30" s="590"/>
      <c r="T30" s="590"/>
      <c r="U30" s="590">
        <f t="shared" ref="U30:U35" si="56">SUM(Q30:T30)</f>
        <v>0</v>
      </c>
      <c r="V30" s="590">
        <f t="shared" ref="V30:V35" si="57">P30+U30</f>
        <v>0</v>
      </c>
      <c r="W30" s="590"/>
      <c r="X30" s="590"/>
      <c r="Y30" s="590"/>
      <c r="Z30" s="590">
        <f t="shared" ref="Z30:Z35" si="58">SUM(W30:Y30)</f>
        <v>0</v>
      </c>
      <c r="AA30" s="590"/>
      <c r="AB30" s="590"/>
      <c r="AC30" s="590"/>
      <c r="AD30" s="590"/>
      <c r="AE30" s="592">
        <f t="shared" ref="AE30:AE35" si="59">SUM(AA30:AD30)</f>
        <v>0</v>
      </c>
      <c r="AF30" s="590">
        <f t="shared" ref="AF30:AF35" si="60">Z30+AE30</f>
        <v>0</v>
      </c>
      <c r="AG30" s="596"/>
      <c r="AH30" s="596"/>
      <c r="AI30" s="596"/>
      <c r="AJ30" s="596"/>
      <c r="AK30" s="596"/>
      <c r="AL30" s="596"/>
      <c r="AM30" s="596"/>
      <c r="AN30" s="596"/>
      <c r="AO30" s="590"/>
      <c r="AP30" s="590"/>
      <c r="AQ30" s="614">
        <f t="shared" ref="AQ30:AQ35" si="61">SUM(AG30:AP30)</f>
        <v>0</v>
      </c>
      <c r="AR30" s="596">
        <f t="shared" si="52"/>
        <v>0</v>
      </c>
      <c r="AS30" s="596"/>
      <c r="AT30" s="596">
        <f t="shared" ref="AT30:AT35" si="62">SUM(AR30:AS30)</f>
        <v>0</v>
      </c>
      <c r="AU30" s="590">
        <f t="shared" ref="AU30:AU35" si="63">V30+AF30+AQ30</f>
        <v>0</v>
      </c>
      <c r="AV30" s="547"/>
      <c r="AW30" s="547"/>
      <c r="AX30" s="547"/>
      <c r="AY30" s="547"/>
      <c r="AZ30" s="547"/>
    </row>
    <row r="31" spans="1:52" s="530" customFormat="1" ht="12" hidden="1" thickBot="1" x14ac:dyDescent="0.25">
      <c r="A31" s="606"/>
      <c r="B31" s="612"/>
      <c r="C31" s="613"/>
      <c r="D31" s="590"/>
      <c r="E31" s="590">
        <f t="shared" si="55"/>
        <v>0</v>
      </c>
      <c r="F31" s="590"/>
      <c r="G31" s="590"/>
      <c r="H31" s="590"/>
      <c r="I31" s="590"/>
      <c r="J31" s="590"/>
      <c r="K31" s="590"/>
      <c r="L31" s="590"/>
      <c r="M31" s="590"/>
      <c r="N31" s="590"/>
      <c r="O31" s="590"/>
      <c r="P31" s="590">
        <f t="shared" si="54"/>
        <v>0</v>
      </c>
      <c r="Q31" s="590"/>
      <c r="R31" s="590"/>
      <c r="S31" s="590"/>
      <c r="T31" s="590"/>
      <c r="U31" s="590">
        <f t="shared" si="56"/>
        <v>0</v>
      </c>
      <c r="V31" s="590">
        <f t="shared" si="57"/>
        <v>0</v>
      </c>
      <c r="W31" s="590"/>
      <c r="X31" s="590"/>
      <c r="Y31" s="590"/>
      <c r="Z31" s="590">
        <f t="shared" si="58"/>
        <v>0</v>
      </c>
      <c r="AA31" s="590"/>
      <c r="AB31" s="590"/>
      <c r="AC31" s="590"/>
      <c r="AD31" s="590"/>
      <c r="AE31" s="592">
        <f t="shared" si="59"/>
        <v>0</v>
      </c>
      <c r="AF31" s="590">
        <f t="shared" si="60"/>
        <v>0</v>
      </c>
      <c r="AG31" s="596"/>
      <c r="AH31" s="596"/>
      <c r="AI31" s="596"/>
      <c r="AJ31" s="596"/>
      <c r="AK31" s="596"/>
      <c r="AL31" s="596"/>
      <c r="AM31" s="596"/>
      <c r="AN31" s="596"/>
      <c r="AO31" s="590"/>
      <c r="AP31" s="590"/>
      <c r="AQ31" s="614">
        <f t="shared" si="61"/>
        <v>0</v>
      </c>
      <c r="AR31" s="596">
        <f t="shared" si="52"/>
        <v>0</v>
      </c>
      <c r="AS31" s="596"/>
      <c r="AT31" s="596">
        <f t="shared" si="62"/>
        <v>0</v>
      </c>
      <c r="AU31" s="590">
        <f t="shared" si="63"/>
        <v>0</v>
      </c>
      <c r="AV31" s="547"/>
      <c r="AW31" s="547"/>
      <c r="AX31" s="547"/>
      <c r="AY31" s="547"/>
      <c r="AZ31" s="547"/>
    </row>
    <row r="32" spans="1:52" s="530" customFormat="1" ht="12" hidden="1" thickBot="1" x14ac:dyDescent="0.25">
      <c r="A32" s="606"/>
      <c r="B32" s="612"/>
      <c r="C32" s="613"/>
      <c r="D32" s="590"/>
      <c r="E32" s="590">
        <f t="shared" si="55"/>
        <v>0</v>
      </c>
      <c r="F32" s="590"/>
      <c r="G32" s="590"/>
      <c r="H32" s="590"/>
      <c r="I32" s="590"/>
      <c r="J32" s="590"/>
      <c r="K32" s="590"/>
      <c r="L32" s="590"/>
      <c r="M32" s="590"/>
      <c r="N32" s="590"/>
      <c r="O32" s="590"/>
      <c r="P32" s="590">
        <f t="shared" si="54"/>
        <v>0</v>
      </c>
      <c r="Q32" s="590"/>
      <c r="R32" s="590"/>
      <c r="S32" s="590"/>
      <c r="T32" s="590"/>
      <c r="U32" s="590">
        <f t="shared" si="56"/>
        <v>0</v>
      </c>
      <c r="V32" s="590">
        <f t="shared" si="57"/>
        <v>0</v>
      </c>
      <c r="W32" s="590"/>
      <c r="X32" s="590"/>
      <c r="Y32" s="590"/>
      <c r="Z32" s="590">
        <f t="shared" si="58"/>
        <v>0</v>
      </c>
      <c r="AA32" s="590"/>
      <c r="AB32" s="590"/>
      <c r="AC32" s="590"/>
      <c r="AD32" s="590"/>
      <c r="AE32" s="592">
        <f t="shared" si="59"/>
        <v>0</v>
      </c>
      <c r="AF32" s="590">
        <f t="shared" si="60"/>
        <v>0</v>
      </c>
      <c r="AG32" s="596"/>
      <c r="AH32" s="596"/>
      <c r="AI32" s="596"/>
      <c r="AJ32" s="596"/>
      <c r="AK32" s="596"/>
      <c r="AL32" s="596"/>
      <c r="AM32" s="596"/>
      <c r="AN32" s="596"/>
      <c r="AO32" s="590"/>
      <c r="AP32" s="590"/>
      <c r="AQ32" s="614">
        <f t="shared" si="61"/>
        <v>0</v>
      </c>
      <c r="AR32" s="596">
        <f t="shared" si="52"/>
        <v>0</v>
      </c>
      <c r="AS32" s="596"/>
      <c r="AT32" s="596">
        <f t="shared" si="62"/>
        <v>0</v>
      </c>
      <c r="AU32" s="590">
        <f t="shared" si="63"/>
        <v>0</v>
      </c>
      <c r="AV32" s="547"/>
      <c r="AW32" s="547"/>
      <c r="AX32" s="547"/>
      <c r="AY32" s="547"/>
      <c r="AZ32" s="547"/>
    </row>
    <row r="33" spans="1:52" s="530" customFormat="1" ht="12" hidden="1" thickBot="1" x14ac:dyDescent="0.25">
      <c r="A33" s="606"/>
      <c r="B33" s="612"/>
      <c r="C33" s="613"/>
      <c r="D33" s="590"/>
      <c r="E33" s="590">
        <f t="shared" si="55"/>
        <v>0</v>
      </c>
      <c r="F33" s="590"/>
      <c r="G33" s="590"/>
      <c r="H33" s="590"/>
      <c r="I33" s="590"/>
      <c r="J33" s="590"/>
      <c r="K33" s="590"/>
      <c r="L33" s="590"/>
      <c r="M33" s="590"/>
      <c r="N33" s="590"/>
      <c r="O33" s="590"/>
      <c r="P33" s="590">
        <f t="shared" si="54"/>
        <v>0</v>
      </c>
      <c r="Q33" s="590"/>
      <c r="R33" s="590"/>
      <c r="S33" s="590"/>
      <c r="T33" s="590"/>
      <c r="U33" s="590">
        <f t="shared" si="56"/>
        <v>0</v>
      </c>
      <c r="V33" s="590">
        <f t="shared" si="57"/>
        <v>0</v>
      </c>
      <c r="W33" s="590"/>
      <c r="X33" s="590"/>
      <c r="Y33" s="590"/>
      <c r="Z33" s="590">
        <f t="shared" si="58"/>
        <v>0</v>
      </c>
      <c r="AA33" s="590"/>
      <c r="AB33" s="590"/>
      <c r="AC33" s="590"/>
      <c r="AD33" s="590"/>
      <c r="AE33" s="592">
        <f t="shared" si="59"/>
        <v>0</v>
      </c>
      <c r="AF33" s="590">
        <f t="shared" si="60"/>
        <v>0</v>
      </c>
      <c r="AG33" s="596"/>
      <c r="AH33" s="596"/>
      <c r="AI33" s="596"/>
      <c r="AJ33" s="596"/>
      <c r="AK33" s="596"/>
      <c r="AL33" s="596"/>
      <c r="AM33" s="596"/>
      <c r="AN33" s="596"/>
      <c r="AO33" s="590"/>
      <c r="AP33" s="590"/>
      <c r="AQ33" s="614">
        <f t="shared" si="61"/>
        <v>0</v>
      </c>
      <c r="AR33" s="596">
        <f t="shared" si="52"/>
        <v>0</v>
      </c>
      <c r="AS33" s="596"/>
      <c r="AT33" s="596">
        <f t="shared" si="62"/>
        <v>0</v>
      </c>
      <c r="AU33" s="590">
        <f t="shared" si="63"/>
        <v>0</v>
      </c>
      <c r="AV33" s="547"/>
      <c r="AW33" s="547"/>
      <c r="AX33" s="547"/>
      <c r="AY33" s="547"/>
      <c r="AZ33" s="547"/>
    </row>
    <row r="34" spans="1:52" s="530" customFormat="1" ht="12" hidden="1" thickBot="1" x14ac:dyDescent="0.25">
      <c r="A34" s="606"/>
      <c r="B34" s="612"/>
      <c r="C34" s="613"/>
      <c r="D34" s="590"/>
      <c r="E34" s="590">
        <f t="shared" si="55"/>
        <v>0</v>
      </c>
      <c r="F34" s="590"/>
      <c r="G34" s="590"/>
      <c r="H34" s="590"/>
      <c r="I34" s="590"/>
      <c r="J34" s="590"/>
      <c r="K34" s="590"/>
      <c r="L34" s="590"/>
      <c r="M34" s="590"/>
      <c r="N34" s="590"/>
      <c r="O34" s="590"/>
      <c r="P34" s="590">
        <f t="shared" si="54"/>
        <v>0</v>
      </c>
      <c r="Q34" s="590"/>
      <c r="R34" s="590"/>
      <c r="S34" s="590"/>
      <c r="T34" s="590"/>
      <c r="U34" s="590">
        <f t="shared" si="56"/>
        <v>0</v>
      </c>
      <c r="V34" s="590">
        <f t="shared" si="57"/>
        <v>0</v>
      </c>
      <c r="W34" s="590"/>
      <c r="X34" s="590"/>
      <c r="Y34" s="590"/>
      <c r="Z34" s="590">
        <f t="shared" si="58"/>
        <v>0</v>
      </c>
      <c r="AA34" s="590"/>
      <c r="AB34" s="590"/>
      <c r="AC34" s="590"/>
      <c r="AD34" s="590"/>
      <c r="AE34" s="592">
        <f t="shared" si="59"/>
        <v>0</v>
      </c>
      <c r="AF34" s="590">
        <f t="shared" si="60"/>
        <v>0</v>
      </c>
      <c r="AG34" s="596"/>
      <c r="AH34" s="596"/>
      <c r="AI34" s="596"/>
      <c r="AJ34" s="596"/>
      <c r="AK34" s="596"/>
      <c r="AL34" s="596"/>
      <c r="AM34" s="596"/>
      <c r="AN34" s="596"/>
      <c r="AO34" s="590"/>
      <c r="AP34" s="590"/>
      <c r="AQ34" s="614">
        <f t="shared" si="61"/>
        <v>0</v>
      </c>
      <c r="AR34" s="596">
        <f t="shared" si="52"/>
        <v>0</v>
      </c>
      <c r="AS34" s="596"/>
      <c r="AT34" s="596">
        <f t="shared" si="62"/>
        <v>0</v>
      </c>
      <c r="AU34" s="590">
        <f t="shared" si="63"/>
        <v>0</v>
      </c>
      <c r="AV34" s="547"/>
      <c r="AW34" s="547"/>
      <c r="AX34" s="547"/>
      <c r="AY34" s="547"/>
      <c r="AZ34" s="547"/>
    </row>
    <row r="35" spans="1:52" s="530" customFormat="1" ht="12" hidden="1" thickBot="1" x14ac:dyDescent="0.25">
      <c r="A35" s="606"/>
      <c r="B35" s="612"/>
      <c r="C35" s="613"/>
      <c r="D35" s="590"/>
      <c r="E35" s="590">
        <f t="shared" si="55"/>
        <v>0</v>
      </c>
      <c r="F35" s="590"/>
      <c r="G35" s="590"/>
      <c r="H35" s="590"/>
      <c r="I35" s="590"/>
      <c r="J35" s="590"/>
      <c r="K35" s="590"/>
      <c r="L35" s="590"/>
      <c r="M35" s="590"/>
      <c r="N35" s="590"/>
      <c r="O35" s="590"/>
      <c r="P35" s="590">
        <f t="shared" si="54"/>
        <v>0</v>
      </c>
      <c r="Q35" s="590"/>
      <c r="R35" s="590"/>
      <c r="S35" s="590"/>
      <c r="T35" s="590"/>
      <c r="U35" s="590">
        <f t="shared" si="56"/>
        <v>0</v>
      </c>
      <c r="V35" s="590">
        <f t="shared" si="57"/>
        <v>0</v>
      </c>
      <c r="W35" s="590"/>
      <c r="X35" s="590"/>
      <c r="Y35" s="590"/>
      <c r="Z35" s="590">
        <f t="shared" si="58"/>
        <v>0</v>
      </c>
      <c r="AA35" s="590"/>
      <c r="AB35" s="590"/>
      <c r="AC35" s="590"/>
      <c r="AD35" s="590"/>
      <c r="AE35" s="592">
        <f t="shared" si="59"/>
        <v>0</v>
      </c>
      <c r="AF35" s="590">
        <f t="shared" si="60"/>
        <v>0</v>
      </c>
      <c r="AG35" s="596"/>
      <c r="AH35" s="596"/>
      <c r="AI35" s="596"/>
      <c r="AJ35" s="596"/>
      <c r="AK35" s="596"/>
      <c r="AL35" s="596"/>
      <c r="AM35" s="596"/>
      <c r="AN35" s="596"/>
      <c r="AO35" s="590"/>
      <c r="AP35" s="590"/>
      <c r="AQ35" s="614">
        <f t="shared" si="61"/>
        <v>0</v>
      </c>
      <c r="AR35" s="596">
        <f t="shared" si="52"/>
        <v>0</v>
      </c>
      <c r="AS35" s="596"/>
      <c r="AT35" s="596">
        <f t="shared" si="62"/>
        <v>0</v>
      </c>
      <c r="AU35" s="590">
        <f t="shared" si="63"/>
        <v>0</v>
      </c>
      <c r="AV35" s="547"/>
      <c r="AW35" s="547"/>
      <c r="AX35" s="547"/>
      <c r="AY35" s="547"/>
      <c r="AZ35" s="547"/>
    </row>
    <row r="36" spans="1:52" s="113" customFormat="1" ht="12.75" thickTop="1" thickBot="1" x14ac:dyDescent="0.25">
      <c r="A36" s="583" t="s">
        <v>1273</v>
      </c>
      <c r="B36" s="584"/>
      <c r="C36" s="585">
        <f t="shared" ref="C36:AU36" si="64">SUM(C37:C50)</f>
        <v>51</v>
      </c>
      <c r="D36" s="586">
        <f>+C37*D37+C38*D38+C39*D39+C40*D40+C41*D41+C42*D42+C43*D43+C44*D44+C45*D45+C46*D46+C47*D47+C48*D48+C49*D49+C50*D50</f>
        <v>255356845.766</v>
      </c>
      <c r="E36" s="586">
        <f t="shared" si="64"/>
        <v>2877020462.2969332</v>
      </c>
      <c r="F36" s="586">
        <f t="shared" si="64"/>
        <v>0</v>
      </c>
      <c r="G36" s="586">
        <f t="shared" si="64"/>
        <v>0</v>
      </c>
      <c r="H36" s="586">
        <f t="shared" si="64"/>
        <v>0</v>
      </c>
      <c r="I36" s="586">
        <f t="shared" si="64"/>
        <v>0</v>
      </c>
      <c r="J36" s="586">
        <f t="shared" si="64"/>
        <v>131402376.88375416</v>
      </c>
      <c r="K36" s="586">
        <f t="shared" si="64"/>
        <v>89374896.018099993</v>
      </c>
      <c r="L36" s="586">
        <f t="shared" si="64"/>
        <v>0</v>
      </c>
      <c r="M36" s="586">
        <f t="shared" si="64"/>
        <v>285161408.16786933</v>
      </c>
      <c r="N36" s="586">
        <f t="shared" si="64"/>
        <v>136877475.92057729</v>
      </c>
      <c r="O36" s="586">
        <f t="shared" si="64"/>
        <v>0</v>
      </c>
      <c r="P36" s="586">
        <f t="shared" si="64"/>
        <v>3519836619.2872343</v>
      </c>
      <c r="Q36" s="586">
        <f t="shared" si="64"/>
        <v>0</v>
      </c>
      <c r="R36" s="586">
        <f t="shared" si="64"/>
        <v>0</v>
      </c>
      <c r="S36" s="586">
        <f t="shared" si="64"/>
        <v>0</v>
      </c>
      <c r="T36" s="586">
        <f t="shared" si="64"/>
        <v>0</v>
      </c>
      <c r="U36" s="586">
        <f t="shared" si="64"/>
        <v>0</v>
      </c>
      <c r="V36" s="586">
        <f t="shared" si="64"/>
        <v>3519836619.2872343</v>
      </c>
      <c r="W36" s="586">
        <f t="shared" si="64"/>
        <v>200753631.35018</v>
      </c>
      <c r="X36" s="586">
        <f t="shared" si="64"/>
        <v>31020000</v>
      </c>
      <c r="Y36" s="586">
        <f t="shared" si="64"/>
        <v>17023789.717733335</v>
      </c>
      <c r="Z36" s="586">
        <f t="shared" si="64"/>
        <v>248797421.06791329</v>
      </c>
      <c r="AA36" s="586">
        <f t="shared" si="64"/>
        <v>0</v>
      </c>
      <c r="AB36" s="586">
        <f t="shared" si="64"/>
        <v>0</v>
      </c>
      <c r="AC36" s="586">
        <f t="shared" si="64"/>
        <v>0</v>
      </c>
      <c r="AD36" s="586">
        <f t="shared" si="64"/>
        <v>0</v>
      </c>
      <c r="AE36" s="586">
        <f t="shared" si="64"/>
        <v>0</v>
      </c>
      <c r="AF36" s="586">
        <f t="shared" si="64"/>
        <v>248797421.06791329</v>
      </c>
      <c r="AG36" s="586">
        <f t="shared" si="64"/>
        <v>383255600</v>
      </c>
      <c r="AH36" s="586">
        <f t="shared" si="64"/>
        <v>271472800</v>
      </c>
      <c r="AI36" s="586">
        <f t="shared" si="64"/>
        <v>314854812.54052371</v>
      </c>
      <c r="AJ36" s="586">
        <f t="shared" si="64"/>
        <v>138657800</v>
      </c>
      <c r="AK36" s="586">
        <f t="shared" si="64"/>
        <v>16671500</v>
      </c>
      <c r="AL36" s="586">
        <f t="shared" si="64"/>
        <v>103993400</v>
      </c>
      <c r="AM36" s="586">
        <f t="shared" si="64"/>
        <v>17332200</v>
      </c>
      <c r="AN36" s="586">
        <f t="shared" si="64"/>
        <v>17332200</v>
      </c>
      <c r="AO36" s="586">
        <f t="shared" si="64"/>
        <v>34664400</v>
      </c>
      <c r="AP36" s="586">
        <f t="shared" si="64"/>
        <v>0</v>
      </c>
      <c r="AQ36" s="604">
        <f t="shared" si="64"/>
        <v>1298234712.5405238</v>
      </c>
      <c r="AR36" s="586">
        <f t="shared" si="64"/>
        <v>26647500</v>
      </c>
      <c r="AS36" s="586">
        <f t="shared" si="64"/>
        <v>0</v>
      </c>
      <c r="AT36" s="605">
        <f t="shared" si="64"/>
        <v>26647500</v>
      </c>
      <c r="AU36" s="586">
        <f t="shared" si="64"/>
        <v>5066868752.8956709</v>
      </c>
      <c r="AV36" s="547"/>
      <c r="AW36" s="547"/>
      <c r="AX36" s="547"/>
      <c r="AY36" s="547"/>
      <c r="AZ36" s="547"/>
    </row>
    <row r="37" spans="1:52" s="530" customFormat="1" ht="12" thickTop="1" x14ac:dyDescent="0.2">
      <c r="A37" s="606" t="s">
        <v>1274</v>
      </c>
      <c r="B37" s="612" t="s">
        <v>1275</v>
      </c>
      <c r="C37" s="589">
        <v>3</v>
      </c>
      <c r="D37" s="590">
        <f>7674783*1.034</f>
        <v>7935725.6220000004</v>
      </c>
      <c r="E37" s="590">
        <f>((D37*11)+D37/30*8)*C37</f>
        <v>268227526.02360004</v>
      </c>
      <c r="F37" s="590"/>
      <c r="G37" s="590"/>
      <c r="H37" s="590"/>
      <c r="I37" s="590"/>
      <c r="J37" s="591">
        <f t="shared" ref="J37:J50" si="65">+((D37+H37+(K37/12/C37))/720*360)*C37</f>
        <v>12250776.428962499</v>
      </c>
      <c r="K37" s="591">
        <f t="shared" ref="K37:K50" si="66">IF(D37&gt;$D$56,(D37*0.35),(D37)*0.5)*C37</f>
        <v>8332511.9030999998</v>
      </c>
      <c r="L37" s="590"/>
      <c r="M37" s="591">
        <f t="shared" ref="M37:M50" si="67">+(D37+(((H37+J37+K37+N37)/12)/C37)/360*360)*C37</f>
        <v>26585886.347574871</v>
      </c>
      <c r="N37" s="590">
        <f t="shared" ref="N37:N50" si="68">+((D37+(H37/12/C37)+(J37/12/C37)+(K37/12/C37))/30*15)*C37</f>
        <v>12761225.446835937</v>
      </c>
      <c r="O37" s="590"/>
      <c r="P37" s="592">
        <f t="shared" ref="P37:P50" si="69">SUM(E37:O37)</f>
        <v>328157926.15007341</v>
      </c>
      <c r="Q37" s="590"/>
      <c r="R37" s="590"/>
      <c r="S37" s="590"/>
      <c r="T37" s="590"/>
      <c r="U37" s="590">
        <f t="shared" ref="U37:U47" si="70">SUM(Q37:T37)</f>
        <v>0</v>
      </c>
      <c r="V37" s="592">
        <f t="shared" ref="V37:V50" si="71">P37+U37</f>
        <v>328157926.15007341</v>
      </c>
      <c r="W37" s="590">
        <f>+((D37+H37+(K37/12/C37)+(J37/12/C37))/30*22)*C37</f>
        <v>18716463.988692716</v>
      </c>
      <c r="X37" s="590">
        <f>30000000*1.034</f>
        <v>31020000</v>
      </c>
      <c r="Y37" s="590">
        <f t="shared" ref="Y37:Y50" si="72">(D37/30*2)*C37</f>
        <v>1587145.1244000001</v>
      </c>
      <c r="Z37" s="592">
        <f>SUM(W37:Y37)</f>
        <v>51323609.113092713</v>
      </c>
      <c r="AA37" s="591"/>
      <c r="AB37" s="590"/>
      <c r="AC37" s="590"/>
      <c r="AD37" s="590"/>
      <c r="AE37" s="592">
        <f t="shared" ref="AE37:AE50" si="73">SUM(AA37:AD37)</f>
        <v>0</v>
      </c>
      <c r="AF37" s="592">
        <f t="shared" ref="AF37:AF50" si="74">Z37+AE37</f>
        <v>51323609.113092713</v>
      </c>
      <c r="AG37" s="600">
        <f t="shared" ref="AG37:AG50" si="75">ROUND(((E37+F37+G37+K37+L37+W37+AR37)*12%),-2)</f>
        <v>35621300</v>
      </c>
      <c r="AH37" s="596">
        <f t="shared" ref="AH37:AH50" si="76">ROUND(((E37+F37+G37+K37+L37+W37+AR37)*8.5%),-2)</f>
        <v>25231700</v>
      </c>
      <c r="AI37" s="601">
        <f t="shared" ref="AI37:AI50" si="77">+(E37+F37+G37+H37+J37+K37+L37+M37+N37+W37+X37+AR37)*8.333333333/100</f>
        <v>31621824.176965639</v>
      </c>
      <c r="AJ37" s="596">
        <f t="shared" ref="AJ37:AJ50" si="78">+ROUND((E37+F37+G37+H37+J37+K37+L37+N37+W37+X37)*4/100,-2)</f>
        <v>14052300</v>
      </c>
      <c r="AK37" s="601">
        <f t="shared" ref="AK37:AK50" si="79">ROUND(((E37+F37+G37+K37+L37+W37+AR37)*0.522%),-2)</f>
        <v>1549500</v>
      </c>
      <c r="AL37" s="596">
        <f t="shared" ref="AL37:AL50" si="80">+ROUND((+E37+F37+G37+H37+J37+K37+L37+N37+W37+X37)*3/100,-2)</f>
        <v>10539300</v>
      </c>
      <c r="AM37" s="601">
        <f t="shared" ref="AM37:AM50" si="81">+ROUND((E37+F37+G37+H37+J37+K37+L37+N37+W37+X37)*0.5/100,-2)</f>
        <v>1756500</v>
      </c>
      <c r="AN37" s="596">
        <f t="shared" ref="AN37:AN50" si="82">+ROUND((+E37+F37+G37+H37+J37+K37+L37+N37+W37+X37)*0.5/100,-2)</f>
        <v>1756500</v>
      </c>
      <c r="AO37" s="590">
        <f t="shared" ref="AO37:AO50" si="83">+ROUND((E37+F37+G37+H37+J37+K37+L37+N37+W37+X37)*1/100,-2)</f>
        <v>3513100</v>
      </c>
      <c r="AP37" s="590"/>
      <c r="AQ37" s="608">
        <f t="shared" ref="AQ37:AQ50" si="84">SUM(AG37:AP37)</f>
        <v>125642024.17696564</v>
      </c>
      <c r="AR37" s="596">
        <f t="shared" ref="AR37:AR50" si="85">522500*C37</f>
        <v>1567500</v>
      </c>
      <c r="AS37" s="596"/>
      <c r="AT37" s="597">
        <f t="shared" ref="AT37:AT47" si="86">SUM(AR37:AS37)</f>
        <v>1567500</v>
      </c>
      <c r="AU37" s="592">
        <f t="shared" ref="AU37:AU50" si="87">V37+AF37+AQ37</f>
        <v>505123559.44013178</v>
      </c>
      <c r="AV37" s="547"/>
      <c r="AW37" s="547"/>
      <c r="AX37" s="547"/>
      <c r="AY37" s="547"/>
      <c r="AZ37" s="547"/>
    </row>
    <row r="38" spans="1:52" s="530" customFormat="1" ht="11.25" x14ac:dyDescent="0.2">
      <c r="A38" s="606" t="s">
        <v>1274</v>
      </c>
      <c r="B38" s="612" t="s">
        <v>1276</v>
      </c>
      <c r="C38" s="589">
        <f>8+2</f>
        <v>10</v>
      </c>
      <c r="D38" s="590">
        <f>6735892*1.034</f>
        <v>6964912.3279999997</v>
      </c>
      <c r="E38" s="590">
        <f t="shared" ref="E38:E50" si="88">((D38*11)+D38/30*8)*C38</f>
        <v>784713455.62133324</v>
      </c>
      <c r="F38" s="590"/>
      <c r="G38" s="590"/>
      <c r="H38" s="590"/>
      <c r="I38" s="590"/>
      <c r="J38" s="591">
        <f t="shared" si="65"/>
        <v>35840278.021166667</v>
      </c>
      <c r="K38" s="591">
        <f t="shared" si="66"/>
        <v>24377193.147999998</v>
      </c>
      <c r="L38" s="590"/>
      <c r="M38" s="591">
        <f t="shared" si="67"/>
        <v>77778381.122323498</v>
      </c>
      <c r="N38" s="590">
        <f t="shared" si="68"/>
        <v>37333622.938715279</v>
      </c>
      <c r="O38" s="590"/>
      <c r="P38" s="592">
        <f t="shared" si="69"/>
        <v>960042930.85153866</v>
      </c>
      <c r="Q38" s="590"/>
      <c r="R38" s="590"/>
      <c r="S38" s="590"/>
      <c r="T38" s="590"/>
      <c r="U38" s="590">
        <f t="shared" si="70"/>
        <v>0</v>
      </c>
      <c r="V38" s="592">
        <f t="shared" si="71"/>
        <v>960042930.85153866</v>
      </c>
      <c r="W38" s="590">
        <f t="shared" ref="W38:W50" si="89">+((D38+H38+(K38/12/C38)+(J38/12/C38))/30*22)*C38</f>
        <v>54755980.31011574</v>
      </c>
      <c r="X38" s="590"/>
      <c r="Y38" s="590">
        <f t="shared" si="72"/>
        <v>4643274.8853333332</v>
      </c>
      <c r="Z38" s="592">
        <f>SUM(W38:Y38)</f>
        <v>59399255.195449069</v>
      </c>
      <c r="AA38" s="591"/>
      <c r="AB38" s="590"/>
      <c r="AC38" s="590"/>
      <c r="AD38" s="590"/>
      <c r="AE38" s="592">
        <f t="shared" si="73"/>
        <v>0</v>
      </c>
      <c r="AF38" s="592">
        <f t="shared" si="74"/>
        <v>59399255.195449069</v>
      </c>
      <c r="AG38" s="600">
        <f t="shared" si="75"/>
        <v>104288600</v>
      </c>
      <c r="AH38" s="596">
        <f t="shared" si="76"/>
        <v>73871100</v>
      </c>
      <c r="AI38" s="601">
        <f t="shared" si="77"/>
        <v>85001992.593404457</v>
      </c>
      <c r="AJ38" s="596">
        <f t="shared" si="78"/>
        <v>37480800</v>
      </c>
      <c r="AK38" s="601">
        <f t="shared" si="79"/>
        <v>4536600</v>
      </c>
      <c r="AL38" s="596">
        <f t="shared" si="80"/>
        <v>28110600</v>
      </c>
      <c r="AM38" s="601">
        <f t="shared" si="81"/>
        <v>4685100</v>
      </c>
      <c r="AN38" s="596">
        <f t="shared" si="82"/>
        <v>4685100</v>
      </c>
      <c r="AO38" s="590">
        <f t="shared" si="83"/>
        <v>9370200</v>
      </c>
      <c r="AP38" s="590"/>
      <c r="AQ38" s="608">
        <f t="shared" si="84"/>
        <v>352030092.59340447</v>
      </c>
      <c r="AR38" s="596">
        <f t="shared" si="85"/>
        <v>5225000</v>
      </c>
      <c r="AS38" s="596"/>
      <c r="AT38" s="597">
        <f t="shared" si="86"/>
        <v>5225000</v>
      </c>
      <c r="AU38" s="592">
        <f t="shared" si="87"/>
        <v>1371472278.6403923</v>
      </c>
      <c r="AV38" s="547"/>
      <c r="AW38" s="547"/>
      <c r="AX38" s="547"/>
      <c r="AY38" s="547"/>
      <c r="AZ38" s="547"/>
    </row>
    <row r="39" spans="1:52" s="530" customFormat="1" ht="11.25" x14ac:dyDescent="0.2">
      <c r="A39" s="606" t="s">
        <v>1274</v>
      </c>
      <c r="B39" s="612" t="s">
        <v>1277</v>
      </c>
      <c r="C39" s="589">
        <f>7+1</f>
        <v>8</v>
      </c>
      <c r="D39" s="590">
        <f>6262849*1.034</f>
        <v>6475785.8660000004</v>
      </c>
      <c r="E39" s="590">
        <f t="shared" si="88"/>
        <v>583684166.05546677</v>
      </c>
      <c r="F39" s="590"/>
      <c r="G39" s="590"/>
      <c r="H39" s="590"/>
      <c r="I39" s="590"/>
      <c r="J39" s="591">
        <f t="shared" si="65"/>
        <v>26658651.815033335</v>
      </c>
      <c r="K39" s="591">
        <f t="shared" si="66"/>
        <v>18132200.424800001</v>
      </c>
      <c r="L39" s="590"/>
      <c r="M39" s="591">
        <f t="shared" si="67"/>
        <v>57852977.0291522</v>
      </c>
      <c r="N39" s="590">
        <f t="shared" si="68"/>
        <v>27769428.973993059</v>
      </c>
      <c r="O39" s="590"/>
      <c r="P39" s="592">
        <f t="shared" si="69"/>
        <v>714097424.29844534</v>
      </c>
      <c r="Q39" s="590"/>
      <c r="R39" s="590"/>
      <c r="S39" s="590"/>
      <c r="T39" s="590"/>
      <c r="U39" s="590">
        <f t="shared" si="70"/>
        <v>0</v>
      </c>
      <c r="V39" s="592">
        <f t="shared" si="71"/>
        <v>714097424.29844534</v>
      </c>
      <c r="W39" s="590">
        <f t="shared" si="89"/>
        <v>40728495.828523152</v>
      </c>
      <c r="X39" s="590"/>
      <c r="Y39" s="590">
        <f t="shared" si="72"/>
        <v>3453752.461866667</v>
      </c>
      <c r="Z39" s="592">
        <f>SUM(W39:Y39)</f>
        <v>44182248.290389821</v>
      </c>
      <c r="AA39" s="591"/>
      <c r="AB39" s="590"/>
      <c r="AC39" s="590"/>
      <c r="AD39" s="590"/>
      <c r="AE39" s="592">
        <f t="shared" si="73"/>
        <v>0</v>
      </c>
      <c r="AF39" s="592">
        <f t="shared" si="74"/>
        <v>44182248.290389821</v>
      </c>
      <c r="AG39" s="600">
        <f t="shared" si="75"/>
        <v>77607000</v>
      </c>
      <c r="AH39" s="596">
        <f t="shared" si="76"/>
        <v>54971600</v>
      </c>
      <c r="AI39" s="601">
        <f t="shared" si="77"/>
        <v>63250493.341384031</v>
      </c>
      <c r="AJ39" s="596">
        <f t="shared" si="78"/>
        <v>27878900</v>
      </c>
      <c r="AK39" s="601">
        <f t="shared" si="79"/>
        <v>3375900</v>
      </c>
      <c r="AL39" s="596">
        <f t="shared" si="80"/>
        <v>20909200</v>
      </c>
      <c r="AM39" s="601">
        <f t="shared" si="81"/>
        <v>3484900</v>
      </c>
      <c r="AN39" s="596">
        <f t="shared" si="82"/>
        <v>3484900</v>
      </c>
      <c r="AO39" s="590">
        <f t="shared" si="83"/>
        <v>6969700</v>
      </c>
      <c r="AP39" s="590"/>
      <c r="AQ39" s="608">
        <f t="shared" si="84"/>
        <v>261932593.34138402</v>
      </c>
      <c r="AR39" s="596">
        <f t="shared" si="85"/>
        <v>4180000</v>
      </c>
      <c r="AS39" s="596"/>
      <c r="AT39" s="597">
        <f t="shared" si="86"/>
        <v>4180000</v>
      </c>
      <c r="AU39" s="592">
        <f t="shared" si="87"/>
        <v>1020212265.9302192</v>
      </c>
      <c r="AV39" s="547"/>
      <c r="AW39" s="547"/>
      <c r="AX39" s="547"/>
      <c r="AY39" s="547"/>
      <c r="AZ39" s="547"/>
    </row>
    <row r="40" spans="1:52" s="530" customFormat="1" ht="11.25" x14ac:dyDescent="0.2">
      <c r="A40" s="606" t="s">
        <v>1274</v>
      </c>
      <c r="B40" s="612" t="s">
        <v>1278</v>
      </c>
      <c r="C40" s="589">
        <f>4+2</f>
        <v>6</v>
      </c>
      <c r="D40" s="590">
        <f>5458553*1.034</f>
        <v>5644143.8020000001</v>
      </c>
      <c r="E40" s="590">
        <f t="shared" si="88"/>
        <v>381544121.01520002</v>
      </c>
      <c r="F40" s="590"/>
      <c r="G40" s="590"/>
      <c r="H40" s="590"/>
      <c r="I40" s="590"/>
      <c r="J40" s="591">
        <f t="shared" si="65"/>
        <v>17426293.988674998</v>
      </c>
      <c r="K40" s="591">
        <f t="shared" si="66"/>
        <v>11852701.984199999</v>
      </c>
      <c r="L40" s="590"/>
      <c r="M40" s="591">
        <f t="shared" si="67"/>
        <v>37817478.274034292</v>
      </c>
      <c r="N40" s="590">
        <f t="shared" si="68"/>
        <v>18152389.571536455</v>
      </c>
      <c r="O40" s="590"/>
      <c r="P40" s="592">
        <f t="shared" si="69"/>
        <v>466792984.83364576</v>
      </c>
      <c r="Q40" s="590"/>
      <c r="R40" s="590"/>
      <c r="S40" s="590"/>
      <c r="T40" s="590"/>
      <c r="U40" s="590">
        <f t="shared" si="70"/>
        <v>0</v>
      </c>
      <c r="V40" s="592">
        <f t="shared" si="71"/>
        <v>466792984.83364576</v>
      </c>
      <c r="W40" s="590">
        <f t="shared" si="89"/>
        <v>26623504.704920135</v>
      </c>
      <c r="X40" s="590"/>
      <c r="Y40" s="590">
        <f t="shared" si="72"/>
        <v>2257657.5208000001</v>
      </c>
      <c r="Z40" s="592">
        <f t="shared" ref="Z40:Z50" si="90">SUM(W40:Y40)</f>
        <v>28881162.225720137</v>
      </c>
      <c r="AA40" s="591"/>
      <c r="AB40" s="590"/>
      <c r="AC40" s="590"/>
      <c r="AD40" s="590"/>
      <c r="AE40" s="592">
        <f t="shared" si="73"/>
        <v>0</v>
      </c>
      <c r="AF40" s="592">
        <f t="shared" si="74"/>
        <v>28881162.225720137</v>
      </c>
      <c r="AG40" s="600">
        <f t="shared" si="75"/>
        <v>50778600</v>
      </c>
      <c r="AH40" s="596">
        <f t="shared" si="76"/>
        <v>35968200</v>
      </c>
      <c r="AI40" s="601">
        <f t="shared" si="77"/>
        <v>41379290.793225318</v>
      </c>
      <c r="AJ40" s="596">
        <f t="shared" si="78"/>
        <v>18224000</v>
      </c>
      <c r="AK40" s="601">
        <f t="shared" si="79"/>
        <v>2208900</v>
      </c>
      <c r="AL40" s="596">
        <f t="shared" si="80"/>
        <v>13668000</v>
      </c>
      <c r="AM40" s="601">
        <f t="shared" si="81"/>
        <v>2278000</v>
      </c>
      <c r="AN40" s="596">
        <f t="shared" si="82"/>
        <v>2278000</v>
      </c>
      <c r="AO40" s="590">
        <f t="shared" si="83"/>
        <v>4556000</v>
      </c>
      <c r="AP40" s="590"/>
      <c r="AQ40" s="608">
        <f t="shared" si="84"/>
        <v>171338990.79322532</v>
      </c>
      <c r="AR40" s="596">
        <f t="shared" si="85"/>
        <v>3135000</v>
      </c>
      <c r="AS40" s="596"/>
      <c r="AT40" s="597">
        <f t="shared" si="86"/>
        <v>3135000</v>
      </c>
      <c r="AU40" s="592">
        <f t="shared" si="87"/>
        <v>667013137.85259116</v>
      </c>
      <c r="AV40" s="547"/>
      <c r="AW40" s="547"/>
      <c r="AX40" s="547"/>
      <c r="AY40" s="547"/>
      <c r="AZ40" s="547"/>
    </row>
    <row r="41" spans="1:52" s="530" customFormat="1" ht="11.25" x14ac:dyDescent="0.2">
      <c r="A41" s="606" t="s">
        <v>1274</v>
      </c>
      <c r="B41" s="612" t="s">
        <v>1279</v>
      </c>
      <c r="C41" s="589">
        <v>1</v>
      </c>
      <c r="D41" s="590">
        <f>5074638*1.034</f>
        <v>5247175.6919999998</v>
      </c>
      <c r="E41" s="590">
        <f t="shared" si="88"/>
        <v>59118179.463199995</v>
      </c>
      <c r="F41" s="590"/>
      <c r="G41" s="590"/>
      <c r="H41" s="590"/>
      <c r="I41" s="590"/>
      <c r="J41" s="591">
        <f t="shared" si="65"/>
        <v>2700109.158175</v>
      </c>
      <c r="K41" s="591">
        <f t="shared" si="66"/>
        <v>1836511.4921999997</v>
      </c>
      <c r="L41" s="590"/>
      <c r="M41" s="591">
        <f t="shared" si="67"/>
        <v>5859611.8884006077</v>
      </c>
      <c r="N41" s="590">
        <f t="shared" si="68"/>
        <v>2812613.7064322918</v>
      </c>
      <c r="O41" s="590"/>
      <c r="P41" s="592">
        <f t="shared" si="69"/>
        <v>72327025.708407909</v>
      </c>
      <c r="Q41" s="590"/>
      <c r="R41" s="590"/>
      <c r="S41" s="590"/>
      <c r="T41" s="590"/>
      <c r="U41" s="590">
        <f t="shared" si="70"/>
        <v>0</v>
      </c>
      <c r="V41" s="592">
        <f t="shared" si="71"/>
        <v>72327025.708407909</v>
      </c>
      <c r="W41" s="590">
        <f t="shared" si="89"/>
        <v>4125166.7694340283</v>
      </c>
      <c r="X41" s="590"/>
      <c r="Y41" s="590">
        <f t="shared" si="72"/>
        <v>349811.71279999998</v>
      </c>
      <c r="Z41" s="592">
        <f t="shared" si="90"/>
        <v>4474978.4822340282</v>
      </c>
      <c r="AA41" s="591"/>
      <c r="AB41" s="590"/>
      <c r="AC41" s="590"/>
      <c r="AD41" s="590"/>
      <c r="AE41" s="592">
        <f t="shared" si="73"/>
        <v>0</v>
      </c>
      <c r="AF41" s="592">
        <f t="shared" si="74"/>
        <v>4474978.4822340282</v>
      </c>
      <c r="AG41" s="600">
        <f t="shared" si="75"/>
        <v>7872300</v>
      </c>
      <c r="AH41" s="596">
        <f t="shared" si="76"/>
        <v>5576200</v>
      </c>
      <c r="AI41" s="601">
        <f t="shared" si="77"/>
        <v>6414557.7062302474</v>
      </c>
      <c r="AJ41" s="596">
        <f t="shared" si="78"/>
        <v>2823700</v>
      </c>
      <c r="AK41" s="601">
        <f t="shared" si="79"/>
        <v>342400</v>
      </c>
      <c r="AL41" s="596">
        <f t="shared" si="80"/>
        <v>2117800</v>
      </c>
      <c r="AM41" s="601">
        <f t="shared" si="81"/>
        <v>353000</v>
      </c>
      <c r="AN41" s="596">
        <f t="shared" si="82"/>
        <v>353000</v>
      </c>
      <c r="AO41" s="590">
        <f t="shared" si="83"/>
        <v>705900</v>
      </c>
      <c r="AP41" s="590"/>
      <c r="AQ41" s="608">
        <f t="shared" si="84"/>
        <v>26558857.706230246</v>
      </c>
      <c r="AR41" s="596">
        <f t="shared" si="85"/>
        <v>522500</v>
      </c>
      <c r="AS41" s="596"/>
      <c r="AT41" s="597">
        <f t="shared" si="86"/>
        <v>522500</v>
      </c>
      <c r="AU41" s="592">
        <f t="shared" si="87"/>
        <v>103360861.89687219</v>
      </c>
      <c r="AV41" s="547"/>
      <c r="AW41" s="547"/>
      <c r="AX41" s="547"/>
      <c r="AY41" s="547"/>
      <c r="AZ41" s="547"/>
    </row>
    <row r="42" spans="1:52" s="530" customFormat="1" ht="11.25" x14ac:dyDescent="0.2">
      <c r="A42" s="606" t="s">
        <v>1274</v>
      </c>
      <c r="B42" s="612" t="s">
        <v>1280</v>
      </c>
      <c r="C42" s="589">
        <v>2</v>
      </c>
      <c r="D42" s="590">
        <f>4712047*1.034</f>
        <v>4872256.5980000002</v>
      </c>
      <c r="E42" s="590">
        <f t="shared" si="88"/>
        <v>109788182.00826667</v>
      </c>
      <c r="F42" s="590"/>
      <c r="G42" s="590"/>
      <c r="H42" s="590"/>
      <c r="I42" s="590"/>
      <c r="J42" s="591">
        <f t="shared" si="65"/>
        <v>5014364.0821083337</v>
      </c>
      <c r="K42" s="591">
        <f t="shared" si="66"/>
        <v>3410579.6186000002</v>
      </c>
      <c r="L42" s="590"/>
      <c r="M42" s="591">
        <f t="shared" si="67"/>
        <v>10881866.497630931</v>
      </c>
      <c r="N42" s="590">
        <f t="shared" si="68"/>
        <v>5223295.9188628476</v>
      </c>
      <c r="O42" s="590"/>
      <c r="P42" s="592">
        <f t="shared" si="69"/>
        <v>134318288.12546879</v>
      </c>
      <c r="Q42" s="590"/>
      <c r="R42" s="590"/>
      <c r="S42" s="590"/>
      <c r="T42" s="590"/>
      <c r="U42" s="590">
        <f t="shared" si="70"/>
        <v>0</v>
      </c>
      <c r="V42" s="592">
        <f t="shared" si="71"/>
        <v>134318288.12546879</v>
      </c>
      <c r="W42" s="590">
        <f t="shared" si="89"/>
        <v>7660834.0143321762</v>
      </c>
      <c r="X42" s="590"/>
      <c r="Y42" s="590">
        <f t="shared" si="72"/>
        <v>649634.21306666674</v>
      </c>
      <c r="Z42" s="592">
        <f t="shared" si="90"/>
        <v>8310468.2273988426</v>
      </c>
      <c r="AA42" s="591"/>
      <c r="AB42" s="590"/>
      <c r="AC42" s="590"/>
      <c r="AD42" s="590"/>
      <c r="AE42" s="592">
        <f t="shared" si="73"/>
        <v>0</v>
      </c>
      <c r="AF42" s="592">
        <f t="shared" si="74"/>
        <v>8310468.2273988426</v>
      </c>
      <c r="AG42" s="600">
        <f t="shared" si="75"/>
        <v>14628600</v>
      </c>
      <c r="AH42" s="596">
        <f t="shared" si="76"/>
        <v>10361900</v>
      </c>
      <c r="AI42" s="601">
        <f t="shared" si="77"/>
        <v>11918676.844506666</v>
      </c>
      <c r="AJ42" s="596">
        <f t="shared" si="78"/>
        <v>5243900</v>
      </c>
      <c r="AK42" s="601">
        <f t="shared" si="79"/>
        <v>636300</v>
      </c>
      <c r="AL42" s="596">
        <f t="shared" si="80"/>
        <v>3932900</v>
      </c>
      <c r="AM42" s="601">
        <f t="shared" si="81"/>
        <v>655500</v>
      </c>
      <c r="AN42" s="596">
        <f t="shared" si="82"/>
        <v>655500</v>
      </c>
      <c r="AO42" s="590">
        <f t="shared" si="83"/>
        <v>1311000</v>
      </c>
      <c r="AP42" s="590"/>
      <c r="AQ42" s="608">
        <f t="shared" si="84"/>
        <v>49344276.844506666</v>
      </c>
      <c r="AR42" s="596">
        <f t="shared" si="85"/>
        <v>1045000</v>
      </c>
      <c r="AS42" s="596"/>
      <c r="AT42" s="597">
        <f t="shared" si="86"/>
        <v>1045000</v>
      </c>
      <c r="AU42" s="592">
        <f t="shared" si="87"/>
        <v>191973033.19737428</v>
      </c>
      <c r="AV42" s="547"/>
      <c r="AW42" s="547"/>
      <c r="AX42" s="547"/>
      <c r="AY42" s="547"/>
      <c r="AZ42" s="547"/>
    </row>
    <row r="43" spans="1:52" s="530" customFormat="1" ht="11.25" x14ac:dyDescent="0.2">
      <c r="A43" s="606" t="s">
        <v>1274</v>
      </c>
      <c r="B43" s="612" t="s">
        <v>1281</v>
      </c>
      <c r="C43" s="589">
        <v>2</v>
      </c>
      <c r="D43" s="590">
        <f>4155197*1.034</f>
        <v>4296473.6979999999</v>
      </c>
      <c r="E43" s="590">
        <f t="shared" si="88"/>
        <v>96813873.994933322</v>
      </c>
      <c r="F43" s="590"/>
      <c r="G43" s="590"/>
      <c r="H43" s="590"/>
      <c r="I43" s="590"/>
      <c r="J43" s="591">
        <f t="shared" si="65"/>
        <v>4421787.5141916666</v>
      </c>
      <c r="K43" s="591">
        <f t="shared" si="66"/>
        <v>3007531.5885999999</v>
      </c>
      <c r="L43" s="590"/>
      <c r="M43" s="591">
        <f t="shared" si="67"/>
        <v>9595893.0429506656</v>
      </c>
      <c r="N43" s="590">
        <f t="shared" si="68"/>
        <v>4606028.6606163196</v>
      </c>
      <c r="O43" s="590"/>
      <c r="P43" s="592">
        <f t="shared" si="69"/>
        <v>118445114.80129197</v>
      </c>
      <c r="Q43" s="590"/>
      <c r="R43" s="590"/>
      <c r="S43" s="590"/>
      <c r="T43" s="590"/>
      <c r="U43" s="590">
        <f t="shared" si="70"/>
        <v>0</v>
      </c>
      <c r="V43" s="592">
        <f t="shared" si="71"/>
        <v>118445114.80129197</v>
      </c>
      <c r="W43" s="590">
        <f t="shared" si="89"/>
        <v>6755508.7022372689</v>
      </c>
      <c r="X43" s="590"/>
      <c r="Y43" s="590">
        <f t="shared" si="72"/>
        <v>572863.15973333328</v>
      </c>
      <c r="Z43" s="592">
        <f t="shared" si="90"/>
        <v>7328371.8619706025</v>
      </c>
      <c r="AA43" s="591"/>
      <c r="AB43" s="590"/>
      <c r="AC43" s="590"/>
      <c r="AD43" s="590"/>
      <c r="AE43" s="592">
        <f t="shared" si="73"/>
        <v>0</v>
      </c>
      <c r="AF43" s="592">
        <f t="shared" si="74"/>
        <v>7328371.8619706025</v>
      </c>
      <c r="AG43" s="600">
        <f t="shared" si="75"/>
        <v>12914600</v>
      </c>
      <c r="AH43" s="596">
        <f t="shared" si="76"/>
        <v>9147900</v>
      </c>
      <c r="AI43" s="601">
        <f t="shared" si="77"/>
        <v>10520468.624873286</v>
      </c>
      <c r="AJ43" s="596">
        <f t="shared" si="78"/>
        <v>4624200</v>
      </c>
      <c r="AK43" s="601">
        <f t="shared" si="79"/>
        <v>561800</v>
      </c>
      <c r="AL43" s="596">
        <f t="shared" si="80"/>
        <v>3468100</v>
      </c>
      <c r="AM43" s="601">
        <f t="shared" si="81"/>
        <v>578000</v>
      </c>
      <c r="AN43" s="596">
        <f t="shared" si="82"/>
        <v>578000</v>
      </c>
      <c r="AO43" s="590">
        <f t="shared" si="83"/>
        <v>1156000</v>
      </c>
      <c r="AP43" s="590"/>
      <c r="AQ43" s="608">
        <f t="shared" si="84"/>
        <v>43549068.624873288</v>
      </c>
      <c r="AR43" s="596">
        <f t="shared" si="85"/>
        <v>1045000</v>
      </c>
      <c r="AS43" s="596"/>
      <c r="AT43" s="597">
        <f t="shared" si="86"/>
        <v>1045000</v>
      </c>
      <c r="AU43" s="592">
        <f t="shared" si="87"/>
        <v>169322555.28813586</v>
      </c>
      <c r="AV43" s="547"/>
      <c r="AW43" s="547"/>
      <c r="AX43" s="547"/>
      <c r="AY43" s="547"/>
      <c r="AZ43" s="547"/>
    </row>
    <row r="44" spans="1:52" s="530" customFormat="1" ht="11.25" x14ac:dyDescent="0.2">
      <c r="A44" s="606" t="s">
        <v>1274</v>
      </c>
      <c r="B44" s="612" t="s">
        <v>1282</v>
      </c>
      <c r="C44" s="589">
        <v>1</v>
      </c>
      <c r="D44" s="590">
        <f>3758304*1.034</f>
        <v>3886086.3360000001</v>
      </c>
      <c r="E44" s="590">
        <f t="shared" si="88"/>
        <v>43783239.385600001</v>
      </c>
      <c r="F44" s="590"/>
      <c r="G44" s="590"/>
      <c r="H44" s="590"/>
      <c r="I44" s="590"/>
      <c r="J44" s="591">
        <f t="shared" si="65"/>
        <v>1999715.2604</v>
      </c>
      <c r="K44" s="591">
        <f t="shared" si="66"/>
        <v>1360130.2175999999</v>
      </c>
      <c r="L44" s="590"/>
      <c r="M44" s="591">
        <f t="shared" si="67"/>
        <v>4339659.853298611</v>
      </c>
      <c r="N44" s="590">
        <f t="shared" si="68"/>
        <v>2083036.7295833332</v>
      </c>
      <c r="O44" s="590"/>
      <c r="P44" s="592">
        <f t="shared" si="69"/>
        <v>53565781.446481943</v>
      </c>
      <c r="Q44" s="590"/>
      <c r="R44" s="590"/>
      <c r="S44" s="590"/>
      <c r="T44" s="590"/>
      <c r="U44" s="590">
        <f t="shared" si="70"/>
        <v>0</v>
      </c>
      <c r="V44" s="592">
        <f t="shared" si="71"/>
        <v>53565781.446481943</v>
      </c>
      <c r="W44" s="590">
        <f t="shared" si="89"/>
        <v>3055120.5367222219</v>
      </c>
      <c r="X44" s="590"/>
      <c r="Y44" s="590">
        <f t="shared" si="72"/>
        <v>259072.42240000001</v>
      </c>
      <c r="Z44" s="592">
        <f t="shared" si="90"/>
        <v>3314192.9591222219</v>
      </c>
      <c r="AA44" s="591"/>
      <c r="AB44" s="590"/>
      <c r="AC44" s="590"/>
      <c r="AD44" s="590"/>
      <c r="AE44" s="592">
        <f t="shared" si="73"/>
        <v>0</v>
      </c>
      <c r="AF44" s="592">
        <f t="shared" si="74"/>
        <v>3314192.9591222219</v>
      </c>
      <c r="AG44" s="600">
        <f t="shared" si="75"/>
        <v>5846500</v>
      </c>
      <c r="AH44" s="596">
        <f t="shared" si="76"/>
        <v>4141300</v>
      </c>
      <c r="AI44" s="601">
        <f t="shared" si="77"/>
        <v>4761950.1650765361</v>
      </c>
      <c r="AJ44" s="596">
        <f t="shared" si="78"/>
        <v>2091200</v>
      </c>
      <c r="AK44" s="601">
        <f t="shared" si="79"/>
        <v>254300</v>
      </c>
      <c r="AL44" s="596">
        <f t="shared" si="80"/>
        <v>1568400</v>
      </c>
      <c r="AM44" s="601">
        <f t="shared" si="81"/>
        <v>261400</v>
      </c>
      <c r="AN44" s="596">
        <f t="shared" si="82"/>
        <v>261400</v>
      </c>
      <c r="AO44" s="590">
        <f t="shared" si="83"/>
        <v>522800</v>
      </c>
      <c r="AP44" s="590"/>
      <c r="AQ44" s="608">
        <f t="shared" si="84"/>
        <v>19709250.165076535</v>
      </c>
      <c r="AR44" s="596">
        <f t="shared" si="85"/>
        <v>522500</v>
      </c>
      <c r="AS44" s="596"/>
      <c r="AT44" s="597">
        <f t="shared" si="86"/>
        <v>522500</v>
      </c>
      <c r="AU44" s="592">
        <f t="shared" si="87"/>
        <v>76589224.570680708</v>
      </c>
      <c r="AV44" s="547"/>
      <c r="AW44" s="547"/>
      <c r="AX44" s="547"/>
      <c r="AY44" s="547"/>
      <c r="AZ44" s="547"/>
    </row>
    <row r="45" spans="1:52" s="530" customFormat="1" ht="11.25" x14ac:dyDescent="0.2">
      <c r="A45" s="606" t="s">
        <v>1283</v>
      </c>
      <c r="B45" s="612" t="s">
        <v>1284</v>
      </c>
      <c r="C45" s="589">
        <f>4+3</f>
        <v>7</v>
      </c>
      <c r="D45" s="590">
        <f>3055244*1.034</f>
        <v>3159122.2960000001</v>
      </c>
      <c r="E45" s="590">
        <f t="shared" si="88"/>
        <v>249149445.07786664</v>
      </c>
      <c r="F45" s="590"/>
      <c r="G45" s="590"/>
      <c r="H45" s="590"/>
      <c r="I45" s="590"/>
      <c r="J45" s="591">
        <f t="shared" si="65"/>
        <v>11379421.770383334</v>
      </c>
      <c r="K45" s="591">
        <f t="shared" si="66"/>
        <v>7739849.6251999997</v>
      </c>
      <c r="L45" s="590"/>
      <c r="M45" s="591">
        <f t="shared" si="67"/>
        <v>24694925.716977719</v>
      </c>
      <c r="N45" s="590">
        <f t="shared" si="68"/>
        <v>11853564.344149306</v>
      </c>
      <c r="O45" s="590"/>
      <c r="P45" s="592">
        <f t="shared" si="69"/>
        <v>304817206.53457701</v>
      </c>
      <c r="Q45" s="590"/>
      <c r="R45" s="590"/>
      <c r="S45" s="590"/>
      <c r="T45" s="590"/>
      <c r="U45" s="590">
        <f t="shared" si="70"/>
        <v>0</v>
      </c>
      <c r="V45" s="592">
        <f t="shared" si="71"/>
        <v>304817206.53457701</v>
      </c>
      <c r="W45" s="590">
        <f t="shared" si="89"/>
        <v>17385227.704752315</v>
      </c>
      <c r="X45" s="590"/>
      <c r="Y45" s="590">
        <f t="shared" si="72"/>
        <v>1474257.0714666666</v>
      </c>
      <c r="Z45" s="592">
        <f t="shared" si="90"/>
        <v>18859484.776218981</v>
      </c>
      <c r="AA45" s="591"/>
      <c r="AB45" s="590"/>
      <c r="AC45" s="590"/>
      <c r="AD45" s="590"/>
      <c r="AE45" s="592">
        <f t="shared" si="73"/>
        <v>0</v>
      </c>
      <c r="AF45" s="592">
        <f t="shared" si="74"/>
        <v>18859484.776218981</v>
      </c>
      <c r="AG45" s="600">
        <f t="shared" si="75"/>
        <v>33351800</v>
      </c>
      <c r="AH45" s="596">
        <f t="shared" si="76"/>
        <v>23624200</v>
      </c>
      <c r="AI45" s="601">
        <f t="shared" si="77"/>
        <v>27154994.518857911</v>
      </c>
      <c r="AJ45" s="596">
        <f t="shared" si="78"/>
        <v>11900300</v>
      </c>
      <c r="AK45" s="601">
        <f t="shared" si="79"/>
        <v>1450800</v>
      </c>
      <c r="AL45" s="596">
        <f t="shared" si="80"/>
        <v>8925200</v>
      </c>
      <c r="AM45" s="601">
        <f t="shared" si="81"/>
        <v>1487500</v>
      </c>
      <c r="AN45" s="596">
        <f t="shared" si="82"/>
        <v>1487500</v>
      </c>
      <c r="AO45" s="590">
        <f t="shared" si="83"/>
        <v>2975100</v>
      </c>
      <c r="AP45" s="590"/>
      <c r="AQ45" s="608">
        <f t="shared" si="84"/>
        <v>112357394.51885791</v>
      </c>
      <c r="AR45" s="596">
        <f t="shared" si="85"/>
        <v>3657500</v>
      </c>
      <c r="AS45" s="596"/>
      <c r="AT45" s="597">
        <f t="shared" si="86"/>
        <v>3657500</v>
      </c>
      <c r="AU45" s="592">
        <f t="shared" si="87"/>
        <v>436034085.82965392</v>
      </c>
      <c r="AV45" s="547"/>
      <c r="AW45" s="547"/>
      <c r="AX45" s="547"/>
      <c r="AY45" s="547"/>
      <c r="AZ45" s="547"/>
    </row>
    <row r="46" spans="1:52" s="530" customFormat="1" ht="11.25" x14ac:dyDescent="0.2">
      <c r="A46" s="606" t="s">
        <v>1283</v>
      </c>
      <c r="B46" s="612" t="s">
        <v>1285</v>
      </c>
      <c r="C46" s="589">
        <f>2+2</f>
        <v>4</v>
      </c>
      <c r="D46" s="590">
        <f>2718070*1.034</f>
        <v>2810484.38</v>
      </c>
      <c r="E46" s="590">
        <f t="shared" si="88"/>
        <v>126659162.72533333</v>
      </c>
      <c r="F46" s="590"/>
      <c r="G46" s="590"/>
      <c r="H46" s="590"/>
      <c r="I46" s="590"/>
      <c r="J46" s="591">
        <f t="shared" si="65"/>
        <v>5784913.6821666667</v>
      </c>
      <c r="K46" s="591">
        <f t="shared" si="66"/>
        <v>3934678.1319999998</v>
      </c>
      <c r="L46" s="590"/>
      <c r="M46" s="591">
        <f t="shared" si="67"/>
        <v>12554066.1505353</v>
      </c>
      <c r="N46" s="590">
        <f t="shared" si="68"/>
        <v>6025951.7522569448</v>
      </c>
      <c r="O46" s="590"/>
      <c r="P46" s="592">
        <f t="shared" si="69"/>
        <v>154958772.44229221</v>
      </c>
      <c r="Q46" s="590"/>
      <c r="R46" s="590"/>
      <c r="S46" s="590"/>
      <c r="T46" s="590"/>
      <c r="U46" s="590">
        <f t="shared" si="70"/>
        <v>0</v>
      </c>
      <c r="V46" s="592">
        <f t="shared" si="71"/>
        <v>154958772.44229221</v>
      </c>
      <c r="W46" s="590">
        <f t="shared" si="89"/>
        <v>8838062.5699768532</v>
      </c>
      <c r="X46" s="590"/>
      <c r="Y46" s="590">
        <f t="shared" si="72"/>
        <v>749462.50133333332</v>
      </c>
      <c r="Z46" s="592">
        <f t="shared" si="90"/>
        <v>9587525.0713101868</v>
      </c>
      <c r="AA46" s="591"/>
      <c r="AB46" s="590"/>
      <c r="AC46" s="590"/>
      <c r="AD46" s="590"/>
      <c r="AE46" s="592">
        <f t="shared" si="73"/>
        <v>0</v>
      </c>
      <c r="AF46" s="592">
        <f t="shared" si="74"/>
        <v>9587525.0713101868</v>
      </c>
      <c r="AG46" s="600">
        <f t="shared" si="75"/>
        <v>16982600</v>
      </c>
      <c r="AH46" s="596">
        <f t="shared" si="76"/>
        <v>12029400</v>
      </c>
      <c r="AI46" s="601">
        <f t="shared" si="77"/>
        <v>13823902.917136135</v>
      </c>
      <c r="AJ46" s="596">
        <f t="shared" si="78"/>
        <v>6049700</v>
      </c>
      <c r="AK46" s="601">
        <f t="shared" si="79"/>
        <v>738700</v>
      </c>
      <c r="AL46" s="596">
        <f t="shared" si="80"/>
        <v>4537300</v>
      </c>
      <c r="AM46" s="601">
        <f t="shared" si="81"/>
        <v>756200</v>
      </c>
      <c r="AN46" s="596">
        <f t="shared" si="82"/>
        <v>756200</v>
      </c>
      <c r="AO46" s="590">
        <f t="shared" si="83"/>
        <v>1512400</v>
      </c>
      <c r="AP46" s="590"/>
      <c r="AQ46" s="608">
        <f t="shared" si="84"/>
        <v>57186402.917136133</v>
      </c>
      <c r="AR46" s="596">
        <f t="shared" si="85"/>
        <v>2090000</v>
      </c>
      <c r="AS46" s="596"/>
      <c r="AT46" s="597">
        <f t="shared" si="86"/>
        <v>2090000</v>
      </c>
      <c r="AU46" s="592">
        <f t="shared" si="87"/>
        <v>221732700.43073854</v>
      </c>
      <c r="AV46" s="547"/>
      <c r="AW46" s="547"/>
      <c r="AX46" s="547"/>
      <c r="AY46" s="547"/>
      <c r="AZ46" s="547"/>
    </row>
    <row r="47" spans="1:52" s="530" customFormat="1" ht="11.25" x14ac:dyDescent="0.2">
      <c r="A47" s="606" t="s">
        <v>1283</v>
      </c>
      <c r="B47" s="612" t="s">
        <v>1286</v>
      </c>
      <c r="C47" s="589">
        <v>1</v>
      </c>
      <c r="D47" s="590">
        <f>2467189*1.034</f>
        <v>2551073.426</v>
      </c>
      <c r="E47" s="590">
        <f t="shared" si="88"/>
        <v>28742093.932933334</v>
      </c>
      <c r="F47" s="590"/>
      <c r="G47" s="590"/>
      <c r="H47" s="590"/>
      <c r="I47" s="590"/>
      <c r="J47" s="591">
        <f t="shared" si="65"/>
        <v>1312739.8671291666</v>
      </c>
      <c r="K47" s="591">
        <f t="shared" si="66"/>
        <v>892875.69909999997</v>
      </c>
      <c r="L47" s="590"/>
      <c r="M47" s="591">
        <f t="shared" si="67"/>
        <v>2848827.8366518375</v>
      </c>
      <c r="N47" s="590">
        <f t="shared" si="68"/>
        <v>1367437.3615928818</v>
      </c>
      <c r="O47" s="590"/>
      <c r="P47" s="592">
        <f t="shared" si="69"/>
        <v>35163974.697407216</v>
      </c>
      <c r="Q47" s="590"/>
      <c r="R47" s="590"/>
      <c r="S47" s="590"/>
      <c r="T47" s="590"/>
      <c r="U47" s="590">
        <f t="shared" si="70"/>
        <v>0</v>
      </c>
      <c r="V47" s="592">
        <f t="shared" si="71"/>
        <v>35163974.697407216</v>
      </c>
      <c r="W47" s="590">
        <f t="shared" si="89"/>
        <v>2005574.7970028934</v>
      </c>
      <c r="X47" s="590"/>
      <c r="Y47" s="590">
        <f t="shared" si="72"/>
        <v>170071.56173333334</v>
      </c>
      <c r="Z47" s="592">
        <f t="shared" si="90"/>
        <v>2175646.3587362268</v>
      </c>
      <c r="AA47" s="591"/>
      <c r="AB47" s="590"/>
      <c r="AC47" s="590"/>
      <c r="AD47" s="590"/>
      <c r="AE47" s="592">
        <f t="shared" si="73"/>
        <v>0</v>
      </c>
      <c r="AF47" s="592">
        <f t="shared" si="74"/>
        <v>2175646.3587362268</v>
      </c>
      <c r="AG47" s="600">
        <f t="shared" si="75"/>
        <v>3859600</v>
      </c>
      <c r="AH47" s="596">
        <f t="shared" si="76"/>
        <v>2733900</v>
      </c>
      <c r="AI47" s="601">
        <f t="shared" si="77"/>
        <v>3141004.1244085361</v>
      </c>
      <c r="AJ47" s="596">
        <f t="shared" si="78"/>
        <v>1372800</v>
      </c>
      <c r="AK47" s="601">
        <f t="shared" si="79"/>
        <v>167900</v>
      </c>
      <c r="AL47" s="596">
        <f t="shared" si="80"/>
        <v>1029600</v>
      </c>
      <c r="AM47" s="601">
        <f t="shared" si="81"/>
        <v>171600</v>
      </c>
      <c r="AN47" s="596">
        <f t="shared" si="82"/>
        <v>171600</v>
      </c>
      <c r="AO47" s="590">
        <f t="shared" si="83"/>
        <v>343200</v>
      </c>
      <c r="AP47" s="590"/>
      <c r="AQ47" s="608">
        <f t="shared" si="84"/>
        <v>12991204.124408536</v>
      </c>
      <c r="AR47" s="596">
        <f t="shared" si="85"/>
        <v>522500</v>
      </c>
      <c r="AS47" s="596"/>
      <c r="AT47" s="597">
        <f t="shared" si="86"/>
        <v>522500</v>
      </c>
      <c r="AU47" s="592">
        <f t="shared" si="87"/>
        <v>50330825.180551976</v>
      </c>
      <c r="AV47" s="547"/>
      <c r="AW47" s="547"/>
      <c r="AX47" s="547"/>
      <c r="AY47" s="547"/>
      <c r="AZ47" s="547"/>
    </row>
    <row r="48" spans="1:52" s="530" customFormat="1" ht="11.25" x14ac:dyDescent="0.2">
      <c r="A48" s="606" t="s">
        <v>1283</v>
      </c>
      <c r="B48" s="612" t="s">
        <v>1287</v>
      </c>
      <c r="C48" s="589">
        <v>1</v>
      </c>
      <c r="D48" s="590">
        <f>2384170*1.034</f>
        <v>2465231.7800000003</v>
      </c>
      <c r="E48" s="590">
        <f t="shared" si="88"/>
        <v>27774944.721333336</v>
      </c>
      <c r="F48" s="590"/>
      <c r="G48" s="590"/>
      <c r="H48" s="590"/>
      <c r="I48" s="590"/>
      <c r="J48" s="591">
        <f t="shared" si="65"/>
        <v>1268567.1867916668</v>
      </c>
      <c r="K48" s="591">
        <f t="shared" si="66"/>
        <v>862831.12300000002</v>
      </c>
      <c r="L48" s="590"/>
      <c r="M48" s="591">
        <f t="shared" si="67"/>
        <v>2752966.9852249715</v>
      </c>
      <c r="N48" s="590">
        <f t="shared" si="68"/>
        <v>1321424.1529079862</v>
      </c>
      <c r="O48" s="590"/>
      <c r="P48" s="592">
        <f t="shared" si="69"/>
        <v>33980734.169257954</v>
      </c>
      <c r="Q48" s="590"/>
      <c r="R48" s="590"/>
      <c r="S48" s="590"/>
      <c r="T48" s="590"/>
      <c r="U48" s="590">
        <f t="shared" ref="U48:U50" si="91">SUM(Q48:T48)</f>
        <v>0</v>
      </c>
      <c r="V48" s="592">
        <f t="shared" si="71"/>
        <v>33980734.169257954</v>
      </c>
      <c r="W48" s="590">
        <f t="shared" si="89"/>
        <v>1938088.7575983799</v>
      </c>
      <c r="X48" s="590"/>
      <c r="Y48" s="590">
        <f t="shared" si="72"/>
        <v>164348.78533333336</v>
      </c>
      <c r="Z48" s="592">
        <f t="shared" si="90"/>
        <v>2102437.5429317132</v>
      </c>
      <c r="AA48" s="591"/>
      <c r="AB48" s="590"/>
      <c r="AC48" s="590"/>
      <c r="AD48" s="590"/>
      <c r="AE48" s="592">
        <f t="shared" si="73"/>
        <v>0</v>
      </c>
      <c r="AF48" s="592">
        <f t="shared" si="74"/>
        <v>2102437.5429317132</v>
      </c>
      <c r="AG48" s="600">
        <f t="shared" si="75"/>
        <v>3731800</v>
      </c>
      <c r="AH48" s="596">
        <f t="shared" si="76"/>
        <v>2643400</v>
      </c>
      <c r="AI48" s="601">
        <f t="shared" si="77"/>
        <v>3036776.91044989</v>
      </c>
      <c r="AJ48" s="596">
        <f t="shared" si="78"/>
        <v>1326600</v>
      </c>
      <c r="AK48" s="601">
        <f t="shared" si="79"/>
        <v>162300</v>
      </c>
      <c r="AL48" s="596">
        <f t="shared" si="80"/>
        <v>995000</v>
      </c>
      <c r="AM48" s="601">
        <f t="shared" si="81"/>
        <v>165800</v>
      </c>
      <c r="AN48" s="596">
        <f t="shared" si="82"/>
        <v>165800</v>
      </c>
      <c r="AO48" s="590">
        <f t="shared" si="83"/>
        <v>331700</v>
      </c>
      <c r="AP48" s="590"/>
      <c r="AQ48" s="608">
        <f t="shared" si="84"/>
        <v>12559176.91044989</v>
      </c>
      <c r="AR48" s="596">
        <f t="shared" si="85"/>
        <v>522500</v>
      </c>
      <c r="AS48" s="596"/>
      <c r="AT48" s="597">
        <f t="shared" ref="AT48:AT50" si="92">SUM(AR48:AS48)</f>
        <v>522500</v>
      </c>
      <c r="AU48" s="592">
        <f t="shared" si="87"/>
        <v>48642348.622639559</v>
      </c>
      <c r="AV48" s="547"/>
      <c r="AW48" s="547"/>
      <c r="AX48" s="547"/>
      <c r="AY48" s="547"/>
      <c r="AZ48" s="547"/>
    </row>
    <row r="49" spans="1:52" s="530" customFormat="1" ht="11.25" x14ac:dyDescent="0.2">
      <c r="A49" s="615" t="s">
        <v>1283</v>
      </c>
      <c r="B49" s="612" t="s">
        <v>1288</v>
      </c>
      <c r="C49" s="589">
        <v>4</v>
      </c>
      <c r="D49" s="590">
        <f>2048055*1.034</f>
        <v>2117688.87</v>
      </c>
      <c r="E49" s="590">
        <f t="shared" si="88"/>
        <v>95437178.408000007</v>
      </c>
      <c r="F49" s="590"/>
      <c r="G49" s="590"/>
      <c r="H49" s="590"/>
      <c r="I49" s="590"/>
      <c r="J49" s="591">
        <f t="shared" si="65"/>
        <v>4358909.5907500004</v>
      </c>
      <c r="K49" s="591">
        <f t="shared" si="66"/>
        <v>2964764.4180000001</v>
      </c>
      <c r="L49" s="590"/>
      <c r="M49" s="591">
        <f t="shared" si="67"/>
        <v>9459439.2160373274</v>
      </c>
      <c r="N49" s="590">
        <f t="shared" si="68"/>
        <v>4540530.8236979172</v>
      </c>
      <c r="O49" s="590"/>
      <c r="P49" s="592">
        <f t="shared" si="69"/>
        <v>116760822.45648524</v>
      </c>
      <c r="Q49" s="590"/>
      <c r="R49" s="590"/>
      <c r="S49" s="590"/>
      <c r="T49" s="590"/>
      <c r="U49" s="590">
        <f t="shared" si="91"/>
        <v>0</v>
      </c>
      <c r="V49" s="592">
        <f t="shared" si="71"/>
        <v>116760822.45648524</v>
      </c>
      <c r="W49" s="590">
        <f t="shared" si="89"/>
        <v>6659445.2080902793</v>
      </c>
      <c r="X49" s="590"/>
      <c r="Y49" s="590">
        <f t="shared" si="72"/>
        <v>564717.03200000001</v>
      </c>
      <c r="Z49" s="592">
        <f t="shared" si="90"/>
        <v>7224162.2400902789</v>
      </c>
      <c r="AA49" s="591"/>
      <c r="AB49" s="590"/>
      <c r="AC49" s="590"/>
      <c r="AD49" s="590"/>
      <c r="AE49" s="592">
        <f t="shared" si="73"/>
        <v>0</v>
      </c>
      <c r="AF49" s="592">
        <f t="shared" si="74"/>
        <v>7224162.2400902789</v>
      </c>
      <c r="AG49" s="600">
        <f t="shared" si="75"/>
        <v>12858200</v>
      </c>
      <c r="AH49" s="596">
        <f t="shared" si="76"/>
        <v>9107900</v>
      </c>
      <c r="AI49" s="601">
        <f t="shared" si="77"/>
        <v>10459188.971629594</v>
      </c>
      <c r="AJ49" s="596">
        <f t="shared" si="78"/>
        <v>4558400</v>
      </c>
      <c r="AK49" s="601">
        <f t="shared" si="79"/>
        <v>559300</v>
      </c>
      <c r="AL49" s="596">
        <f t="shared" si="80"/>
        <v>3418800</v>
      </c>
      <c r="AM49" s="601">
        <f t="shared" si="81"/>
        <v>569800</v>
      </c>
      <c r="AN49" s="596">
        <f t="shared" si="82"/>
        <v>569800</v>
      </c>
      <c r="AO49" s="590">
        <f t="shared" si="83"/>
        <v>1139600</v>
      </c>
      <c r="AP49" s="590"/>
      <c r="AQ49" s="608">
        <f t="shared" si="84"/>
        <v>43240988.97162959</v>
      </c>
      <c r="AR49" s="596">
        <f t="shared" si="85"/>
        <v>2090000</v>
      </c>
      <c r="AS49" s="596"/>
      <c r="AT49" s="597">
        <f t="shared" si="92"/>
        <v>2090000</v>
      </c>
      <c r="AU49" s="592">
        <f t="shared" si="87"/>
        <v>167225973.66820511</v>
      </c>
      <c r="AV49" s="547"/>
      <c r="AW49" s="547"/>
      <c r="AX49" s="547"/>
      <c r="AY49" s="547"/>
      <c r="AZ49" s="547"/>
    </row>
    <row r="50" spans="1:52" s="530" customFormat="1" ht="12" thickBot="1" x14ac:dyDescent="0.25">
      <c r="A50" s="606" t="s">
        <v>1283</v>
      </c>
      <c r="B50" s="612" t="s">
        <v>1289</v>
      </c>
      <c r="C50" s="589">
        <v>1</v>
      </c>
      <c r="D50" s="590">
        <f>1852823*1.034</f>
        <v>1915818.9820000001</v>
      </c>
      <c r="E50" s="590">
        <f t="shared" si="88"/>
        <v>21584893.863866668</v>
      </c>
      <c r="F50" s="590"/>
      <c r="G50" s="590"/>
      <c r="H50" s="590"/>
      <c r="I50" s="590"/>
      <c r="J50" s="591">
        <f t="shared" si="65"/>
        <v>985848.51782083337</v>
      </c>
      <c r="K50" s="591">
        <f t="shared" si="66"/>
        <v>670536.64370000002</v>
      </c>
      <c r="L50" s="590"/>
      <c r="M50" s="591">
        <f t="shared" si="67"/>
        <v>2139428.2070764611</v>
      </c>
      <c r="N50" s="590">
        <f t="shared" si="68"/>
        <v>1026925.5393967014</v>
      </c>
      <c r="O50" s="590"/>
      <c r="P50" s="592">
        <f t="shared" si="69"/>
        <v>26407632.771860667</v>
      </c>
      <c r="Q50" s="590"/>
      <c r="R50" s="590"/>
      <c r="S50" s="590"/>
      <c r="T50" s="590"/>
      <c r="U50" s="590">
        <f t="shared" si="91"/>
        <v>0</v>
      </c>
      <c r="V50" s="592">
        <f t="shared" si="71"/>
        <v>26407632.771860667</v>
      </c>
      <c r="W50" s="590">
        <f t="shared" si="89"/>
        <v>1506157.4577818287</v>
      </c>
      <c r="X50" s="590"/>
      <c r="Y50" s="590">
        <f t="shared" si="72"/>
        <v>127721.26546666668</v>
      </c>
      <c r="Z50" s="592">
        <f t="shared" si="90"/>
        <v>1633878.7232484955</v>
      </c>
      <c r="AA50" s="591"/>
      <c r="AB50" s="590"/>
      <c r="AC50" s="590"/>
      <c r="AD50" s="590"/>
      <c r="AE50" s="592">
        <f t="shared" si="73"/>
        <v>0</v>
      </c>
      <c r="AF50" s="592">
        <f t="shared" si="74"/>
        <v>1633878.7232484955</v>
      </c>
      <c r="AG50" s="600">
        <f t="shared" si="75"/>
        <v>2914100</v>
      </c>
      <c r="AH50" s="596">
        <f t="shared" si="76"/>
        <v>2064100</v>
      </c>
      <c r="AI50" s="601">
        <f t="shared" si="77"/>
        <v>2369690.8523754207</v>
      </c>
      <c r="AJ50" s="596">
        <f t="shared" si="78"/>
        <v>1031000</v>
      </c>
      <c r="AK50" s="601">
        <f t="shared" si="79"/>
        <v>126800</v>
      </c>
      <c r="AL50" s="596">
        <f t="shared" si="80"/>
        <v>773200</v>
      </c>
      <c r="AM50" s="601">
        <f t="shared" si="81"/>
        <v>128900</v>
      </c>
      <c r="AN50" s="596">
        <f t="shared" si="82"/>
        <v>128900</v>
      </c>
      <c r="AO50" s="590">
        <f t="shared" si="83"/>
        <v>257700</v>
      </c>
      <c r="AP50" s="590"/>
      <c r="AQ50" s="608">
        <f t="shared" si="84"/>
        <v>9794390.8523754217</v>
      </c>
      <c r="AR50" s="596">
        <f t="shared" si="85"/>
        <v>522500</v>
      </c>
      <c r="AS50" s="596"/>
      <c r="AT50" s="597">
        <f t="shared" si="92"/>
        <v>522500</v>
      </c>
      <c r="AU50" s="592">
        <f t="shared" si="87"/>
        <v>37835902.347484589</v>
      </c>
      <c r="AV50" s="547"/>
      <c r="AW50" s="547"/>
      <c r="AX50" s="547"/>
      <c r="AY50" s="547"/>
      <c r="AZ50" s="547"/>
    </row>
    <row r="51" spans="1:52" s="113" customFormat="1" ht="12.75" thickTop="1" thickBot="1" x14ac:dyDescent="0.25">
      <c r="A51" s="583" t="s">
        <v>1290</v>
      </c>
      <c r="B51" s="584"/>
      <c r="C51" s="585">
        <f t="shared" ref="C51:AU51" si="93">SUM(C52:C53)</f>
        <v>4</v>
      </c>
      <c r="D51" s="586">
        <f>+C52*D52</f>
        <v>11767292.24</v>
      </c>
      <c r="E51" s="586">
        <f t="shared" si="93"/>
        <v>132578159.23733333</v>
      </c>
      <c r="F51" s="586">
        <f t="shared" si="93"/>
        <v>0</v>
      </c>
      <c r="G51" s="586">
        <f t="shared" si="93"/>
        <v>0</v>
      </c>
      <c r="H51" s="586">
        <f t="shared" si="93"/>
        <v>0</v>
      </c>
      <c r="I51" s="586">
        <f t="shared" si="93"/>
        <v>0</v>
      </c>
      <c r="J51" s="586">
        <f t="shared" si="93"/>
        <v>6055252.4651666675</v>
      </c>
      <c r="K51" s="586">
        <f t="shared" si="93"/>
        <v>4118552.284</v>
      </c>
      <c r="L51" s="586">
        <f t="shared" si="93"/>
        <v>0</v>
      </c>
      <c r="M51" s="586">
        <f t="shared" si="93"/>
        <v>13140738.856698496</v>
      </c>
      <c r="N51" s="586">
        <f t="shared" si="93"/>
        <v>6307554.6512152776</v>
      </c>
      <c r="O51" s="586">
        <f t="shared" si="93"/>
        <v>0</v>
      </c>
      <c r="P51" s="586">
        <f t="shared" si="93"/>
        <v>162200257.49441376</v>
      </c>
      <c r="Q51" s="586">
        <f t="shared" si="93"/>
        <v>0</v>
      </c>
      <c r="R51" s="586">
        <f t="shared" si="93"/>
        <v>0</v>
      </c>
      <c r="S51" s="586">
        <f t="shared" si="93"/>
        <v>0</v>
      </c>
      <c r="T51" s="586">
        <f t="shared" si="93"/>
        <v>0</v>
      </c>
      <c r="U51" s="586">
        <f t="shared" si="93"/>
        <v>0</v>
      </c>
      <c r="V51" s="586">
        <f t="shared" si="93"/>
        <v>162200257.49441376</v>
      </c>
      <c r="W51" s="586">
        <f t="shared" si="93"/>
        <v>9251080.1551157404</v>
      </c>
      <c r="X51" s="586">
        <f t="shared" si="93"/>
        <v>0</v>
      </c>
      <c r="Y51" s="586">
        <f t="shared" si="93"/>
        <v>784486.14933333336</v>
      </c>
      <c r="Z51" s="586">
        <f t="shared" si="93"/>
        <v>10035566.304449074</v>
      </c>
      <c r="AA51" s="586">
        <f t="shared" si="93"/>
        <v>0</v>
      </c>
      <c r="AB51" s="586">
        <f t="shared" si="93"/>
        <v>0</v>
      </c>
      <c r="AC51" s="586">
        <f t="shared" si="93"/>
        <v>0</v>
      </c>
      <c r="AD51" s="586">
        <f t="shared" si="93"/>
        <v>0</v>
      </c>
      <c r="AE51" s="586">
        <f t="shared" si="93"/>
        <v>0</v>
      </c>
      <c r="AF51" s="586">
        <f t="shared" si="93"/>
        <v>10035566.304449074</v>
      </c>
      <c r="AG51" s="586">
        <f t="shared" si="93"/>
        <v>17764500</v>
      </c>
      <c r="AH51" s="586">
        <f t="shared" si="93"/>
        <v>12583200</v>
      </c>
      <c r="AI51" s="586">
        <f t="shared" si="93"/>
        <v>14461778.136882322</v>
      </c>
      <c r="AJ51" s="586">
        <f t="shared" si="93"/>
        <v>6332400</v>
      </c>
      <c r="AK51" s="586">
        <f t="shared" si="93"/>
        <v>772800</v>
      </c>
      <c r="AL51" s="586">
        <f t="shared" si="93"/>
        <v>4749300</v>
      </c>
      <c r="AM51" s="586">
        <f t="shared" si="93"/>
        <v>791600</v>
      </c>
      <c r="AN51" s="586">
        <f t="shared" si="93"/>
        <v>791600</v>
      </c>
      <c r="AO51" s="586">
        <f t="shared" si="93"/>
        <v>1583100</v>
      </c>
      <c r="AP51" s="586">
        <f t="shared" si="93"/>
        <v>0</v>
      </c>
      <c r="AQ51" s="604">
        <f t="shared" si="93"/>
        <v>59830278.13688232</v>
      </c>
      <c r="AR51" s="586">
        <f t="shared" si="93"/>
        <v>2090000</v>
      </c>
      <c r="AS51" s="586">
        <f t="shared" si="93"/>
        <v>0</v>
      </c>
      <c r="AT51" s="605">
        <f t="shared" si="93"/>
        <v>2090000</v>
      </c>
      <c r="AU51" s="586">
        <f t="shared" si="93"/>
        <v>232066101.93574518</v>
      </c>
      <c r="AV51" s="547"/>
      <c r="AW51" s="547"/>
      <c r="AX51" s="547"/>
      <c r="AY51" s="547"/>
      <c r="AZ51" s="547"/>
    </row>
    <row r="52" spans="1:52" s="530" customFormat="1" ht="12" thickTop="1" x14ac:dyDescent="0.2">
      <c r="A52" s="606" t="s">
        <v>1291</v>
      </c>
      <c r="B52" s="612" t="s">
        <v>1292</v>
      </c>
      <c r="C52" s="589">
        <v>4</v>
      </c>
      <c r="D52" s="590">
        <f>2845090*1.034</f>
        <v>2941823.06</v>
      </c>
      <c r="E52" s="590">
        <f>((D52*11)+D52/30*8)*C52</f>
        <v>132578159.23733333</v>
      </c>
      <c r="F52" s="590"/>
      <c r="G52" s="590"/>
      <c r="H52" s="590"/>
      <c r="I52" s="590"/>
      <c r="J52" s="591">
        <f>+((D52+H52+(K52/12/C52))/720*360)*C52</f>
        <v>6055252.4651666675</v>
      </c>
      <c r="K52" s="591">
        <f>IF(D52&gt;$D$56,(D52*0.35),(D52)*0.5)*C52</f>
        <v>4118552.284</v>
      </c>
      <c r="L52" s="590"/>
      <c r="M52" s="591">
        <f>+(D52+(((H52+J52+K52+N52)/12)/C52)/360*360)*C52</f>
        <v>13140738.856698496</v>
      </c>
      <c r="N52" s="590">
        <f>+((D52+(H52/12/C52)+(J52/12/C52)+(K52/12/C52))/30*15)*C52</f>
        <v>6307554.6512152776</v>
      </c>
      <c r="O52" s="590"/>
      <c r="P52" s="592">
        <f>SUM(E52:O52)</f>
        <v>162200257.49441376</v>
      </c>
      <c r="Q52" s="590"/>
      <c r="R52" s="590"/>
      <c r="S52" s="590"/>
      <c r="T52" s="590"/>
      <c r="U52" s="590">
        <f>SUM(Q52:T52)</f>
        <v>0</v>
      </c>
      <c r="V52" s="592">
        <f>P52+U52</f>
        <v>162200257.49441376</v>
      </c>
      <c r="W52" s="590">
        <f>+((D52+(H52/12/C52)+(K52/12/C52)+(J52/12/C52))/30*22)*C52</f>
        <v>9251080.1551157404</v>
      </c>
      <c r="X52" s="590"/>
      <c r="Y52" s="590">
        <f>(D52/30*2)*C52</f>
        <v>784486.14933333336</v>
      </c>
      <c r="Z52" s="592">
        <f>SUM(W52:Y52)</f>
        <v>10035566.304449074</v>
      </c>
      <c r="AA52" s="590"/>
      <c r="AB52" s="590"/>
      <c r="AC52" s="590"/>
      <c r="AD52" s="590"/>
      <c r="AE52" s="592">
        <f>SUM(AA52:AD52)</f>
        <v>0</v>
      </c>
      <c r="AF52" s="592">
        <f>Z52+AE52</f>
        <v>10035566.304449074</v>
      </c>
      <c r="AG52" s="600">
        <f>ROUND(((E52+F52+G52+K52+L52+W52+AR52)*12%),-2)</f>
        <v>17764500</v>
      </c>
      <c r="AH52" s="596">
        <f>ROUND(((E52+F52+G52+K52+L52+W52+AR52)*8.5%),-2)</f>
        <v>12583200</v>
      </c>
      <c r="AI52" s="601">
        <f>+(E52+F52+G52+H52+J52+K52+L52+M52+N52+W52+X52+AR52)*8.333333333/100</f>
        <v>14461778.136882322</v>
      </c>
      <c r="AJ52" s="596">
        <f>+ROUND((E52+F52+G52+H52+J52+K52+L52+N52+W52+X52)*4/100,-2)</f>
        <v>6332400</v>
      </c>
      <c r="AK52" s="601">
        <f>ROUND(((E52+F52+G52+K52+L52+W52+AR52)*0.522%),-2)</f>
        <v>772800</v>
      </c>
      <c r="AL52" s="596">
        <f>+ROUND((+E52+F52+G52+H52+J52+K52+L52+N52+W52+X52)*3/100,-2)</f>
        <v>4749300</v>
      </c>
      <c r="AM52" s="601">
        <f>+ROUND((E52+F52+G52+H52+J52+K52+L52+N52+W52+X52)*0.5/100,-2)</f>
        <v>791600</v>
      </c>
      <c r="AN52" s="596">
        <f>+ROUND((+E52+F52+G52+H52+J52+K52+L52+N52+W52+X52)*0.5/100,-2)</f>
        <v>791600</v>
      </c>
      <c r="AO52" s="590">
        <f>+ROUND((E52+F52+G52+H52+J52+K52+L52+N52+W52+X52)*1/100,-2)</f>
        <v>1583100</v>
      </c>
      <c r="AP52" s="590"/>
      <c r="AQ52" s="608">
        <f>SUM(AG52:AP52)</f>
        <v>59830278.13688232</v>
      </c>
      <c r="AR52" s="596">
        <f>522500*C52</f>
        <v>2090000</v>
      </c>
      <c r="AS52" s="596"/>
      <c r="AT52" s="597">
        <f>SUM(AR52:AS52)</f>
        <v>2090000</v>
      </c>
      <c r="AU52" s="592">
        <f>V52+AF52+AQ52</f>
        <v>232066101.93574518</v>
      </c>
      <c r="AV52" s="547"/>
      <c r="AW52" s="547"/>
      <c r="AX52" s="547"/>
      <c r="AY52" s="547"/>
      <c r="AZ52" s="547"/>
    </row>
    <row r="53" spans="1:52" s="530" customFormat="1" ht="12" thickBot="1" x14ac:dyDescent="0.25">
      <c r="A53" s="606"/>
      <c r="B53" s="612"/>
      <c r="C53" s="613"/>
      <c r="D53" s="590"/>
      <c r="E53" s="590"/>
      <c r="F53" s="590"/>
      <c r="G53" s="590"/>
      <c r="H53" s="590"/>
      <c r="I53" s="590"/>
      <c r="J53" s="591"/>
      <c r="K53" s="591"/>
      <c r="L53" s="590"/>
      <c r="M53" s="591"/>
      <c r="N53" s="591"/>
      <c r="O53" s="590"/>
      <c r="P53" s="590"/>
      <c r="Q53" s="590"/>
      <c r="R53" s="590"/>
      <c r="S53" s="590"/>
      <c r="T53" s="590"/>
      <c r="U53" s="590"/>
      <c r="V53" s="590"/>
      <c r="W53" s="590"/>
      <c r="X53" s="590"/>
      <c r="Y53" s="590"/>
      <c r="Z53" s="592"/>
      <c r="AA53" s="590"/>
      <c r="AB53" s="590"/>
      <c r="AC53" s="590"/>
      <c r="AD53" s="590"/>
      <c r="AE53" s="592"/>
      <c r="AF53" s="592"/>
      <c r="AG53" s="596"/>
      <c r="AH53" s="596"/>
      <c r="AI53" s="596"/>
      <c r="AJ53" s="596"/>
      <c r="AK53" s="596"/>
      <c r="AL53" s="596"/>
      <c r="AM53" s="596"/>
      <c r="AN53" s="596"/>
      <c r="AO53" s="590"/>
      <c r="AP53" s="590"/>
      <c r="AQ53" s="614"/>
      <c r="AR53" s="596"/>
      <c r="AS53" s="596"/>
      <c r="AT53" s="597"/>
      <c r="AU53" s="590"/>
      <c r="AV53" s="547"/>
      <c r="AW53" s="547"/>
      <c r="AX53" s="547"/>
      <c r="AY53" s="547"/>
      <c r="AZ53" s="547"/>
    </row>
    <row r="54" spans="1:52" s="113" customFormat="1" ht="12.75" thickTop="1" thickBot="1" x14ac:dyDescent="0.25">
      <c r="A54" s="583" t="s">
        <v>1293</v>
      </c>
      <c r="B54" s="584"/>
      <c r="C54" s="585">
        <f>SUM(C55:C57)</f>
        <v>12</v>
      </c>
      <c r="D54" s="586">
        <f>+D55*C55+D56*C56</f>
        <v>23719678.752000004</v>
      </c>
      <c r="E54" s="586">
        <f t="shared" ref="E54:AU54" si="94">SUM(E55:E57)</f>
        <v>267241713.93920004</v>
      </c>
      <c r="F54" s="586">
        <f t="shared" si="94"/>
        <v>0</v>
      </c>
      <c r="G54" s="586">
        <f t="shared" si="94"/>
        <v>0</v>
      </c>
      <c r="H54" s="586">
        <f t="shared" si="94"/>
        <v>6241521.7919999994</v>
      </c>
      <c r="I54" s="586">
        <f t="shared" si="94"/>
        <v>0</v>
      </c>
      <c r="J54" s="586">
        <f t="shared" si="94"/>
        <v>12553712.417400002</v>
      </c>
      <c r="K54" s="586">
        <f t="shared" si="94"/>
        <v>10411431.2016</v>
      </c>
      <c r="L54" s="586">
        <f t="shared" si="94"/>
        <v>99264000</v>
      </c>
      <c r="M54" s="586">
        <f t="shared" si="94"/>
        <v>27243299.516927086</v>
      </c>
      <c r="N54" s="586">
        <f t="shared" si="94"/>
        <v>13076783.768125001</v>
      </c>
      <c r="O54" s="586">
        <f t="shared" si="94"/>
        <v>0</v>
      </c>
      <c r="P54" s="586">
        <f t="shared" si="94"/>
        <v>436032462.63525206</v>
      </c>
      <c r="Q54" s="586">
        <f t="shared" si="94"/>
        <v>0</v>
      </c>
      <c r="R54" s="586">
        <f t="shared" si="94"/>
        <v>0</v>
      </c>
      <c r="S54" s="586">
        <f t="shared" si="94"/>
        <v>0</v>
      </c>
      <c r="T54" s="586">
        <f t="shared" si="94"/>
        <v>0</v>
      </c>
      <c r="U54" s="586">
        <f t="shared" si="94"/>
        <v>0</v>
      </c>
      <c r="V54" s="586">
        <f t="shared" si="94"/>
        <v>436032462.63525206</v>
      </c>
      <c r="W54" s="586">
        <f t="shared" si="94"/>
        <v>19179282.859916668</v>
      </c>
      <c r="X54" s="586">
        <f t="shared" si="94"/>
        <v>0</v>
      </c>
      <c r="Y54" s="586">
        <f t="shared" si="94"/>
        <v>1581311.9168000002</v>
      </c>
      <c r="Z54" s="586">
        <f t="shared" si="94"/>
        <v>20760594.776716668</v>
      </c>
      <c r="AA54" s="586">
        <f t="shared" si="94"/>
        <v>0</v>
      </c>
      <c r="AB54" s="586">
        <f t="shared" si="94"/>
        <v>0</v>
      </c>
      <c r="AC54" s="586">
        <f t="shared" si="94"/>
        <v>0</v>
      </c>
      <c r="AD54" s="586">
        <f t="shared" si="94"/>
        <v>0</v>
      </c>
      <c r="AE54" s="586">
        <f t="shared" si="94"/>
        <v>0</v>
      </c>
      <c r="AF54" s="586">
        <f t="shared" si="94"/>
        <v>20760594.776716668</v>
      </c>
      <c r="AG54" s="586">
        <f t="shared" si="94"/>
        <v>48158600</v>
      </c>
      <c r="AH54" s="586">
        <f t="shared" si="94"/>
        <v>34112300</v>
      </c>
      <c r="AI54" s="586">
        <f t="shared" si="94"/>
        <v>38369728.789729267</v>
      </c>
      <c r="AJ54" s="586">
        <f t="shared" si="94"/>
        <v>17118800</v>
      </c>
      <c r="AK54" s="586">
        <f t="shared" si="94"/>
        <v>2094900</v>
      </c>
      <c r="AL54" s="586">
        <f t="shared" si="94"/>
        <v>12839000</v>
      </c>
      <c r="AM54" s="586">
        <f t="shared" si="94"/>
        <v>2139800</v>
      </c>
      <c r="AN54" s="586">
        <f t="shared" si="94"/>
        <v>2139800</v>
      </c>
      <c r="AO54" s="586">
        <f t="shared" si="94"/>
        <v>4279700</v>
      </c>
      <c r="AP54" s="586">
        <f t="shared" si="94"/>
        <v>0</v>
      </c>
      <c r="AQ54" s="604">
        <f t="shared" si="94"/>
        <v>161252628.78972927</v>
      </c>
      <c r="AR54" s="586">
        <f t="shared" si="94"/>
        <v>5225000</v>
      </c>
      <c r="AS54" s="586">
        <f t="shared" si="94"/>
        <v>0</v>
      </c>
      <c r="AT54" s="605">
        <f t="shared" si="94"/>
        <v>5225000</v>
      </c>
      <c r="AU54" s="586">
        <f t="shared" si="94"/>
        <v>618045686.20169806</v>
      </c>
      <c r="AV54" s="547"/>
      <c r="AW54" s="547"/>
      <c r="AX54" s="547"/>
      <c r="AY54" s="547"/>
      <c r="AZ54" s="547"/>
    </row>
    <row r="55" spans="1:52" s="530" customFormat="1" ht="12" thickTop="1" x14ac:dyDescent="0.2">
      <c r="A55" s="606" t="s">
        <v>1294</v>
      </c>
      <c r="B55" s="612" t="s">
        <v>1295</v>
      </c>
      <c r="C55" s="589">
        <f>3+1</f>
        <v>4</v>
      </c>
      <c r="D55" s="590">
        <f>2334636*1.034</f>
        <v>2414013.6240000003</v>
      </c>
      <c r="E55" s="590">
        <f>((D55*11)+D55/30*8)*C55</f>
        <v>108791547.32160002</v>
      </c>
      <c r="F55" s="590"/>
      <c r="G55" s="590"/>
      <c r="H55" s="590"/>
      <c r="I55" s="590"/>
      <c r="J55" s="591">
        <f>+((D55+H55+(K55/12/C55))/720*360)*C55</f>
        <v>4968844.709400001</v>
      </c>
      <c r="K55" s="591">
        <f>IF(D55&gt;$D$56,(D55*0.35),(D55)*0.5)*C55</f>
        <v>3379619.0736000002</v>
      </c>
      <c r="L55" s="590"/>
      <c r="M55" s="591">
        <f>+(D55+(((H55+J55+K55+N55)/12)/C55)/360*360)*C55</f>
        <v>10783083.136718752</v>
      </c>
      <c r="N55" s="590">
        <f>+((D55+(H55/12/C55)+(J55/12/C55)+(K55/12/C55))/30*15)*C55</f>
        <v>5175879.9056250006</v>
      </c>
      <c r="O55" s="590"/>
      <c r="P55" s="592">
        <f>SUM(E55:O55)</f>
        <v>133098974.14694376</v>
      </c>
      <c r="Q55" s="590"/>
      <c r="R55" s="590"/>
      <c r="S55" s="590"/>
      <c r="T55" s="590"/>
      <c r="U55" s="590">
        <f>SUM(Q55:T55)</f>
        <v>0</v>
      </c>
      <c r="V55" s="592">
        <f>P55+U55</f>
        <v>133098974.14694376</v>
      </c>
      <c r="W55" s="590">
        <f>+((D55+(H55/12/C55)+(K55/12/C55)+(J55/12/C55))/30*22)*C55</f>
        <v>7591290.5282500004</v>
      </c>
      <c r="X55" s="590"/>
      <c r="Y55" s="590">
        <f>(D55/30*2)*C55</f>
        <v>643736.96640000003</v>
      </c>
      <c r="Z55" s="592">
        <f>SUM(W55:Y55)</f>
        <v>8235027.4946500007</v>
      </c>
      <c r="AA55" s="590"/>
      <c r="AB55" s="590"/>
      <c r="AC55" s="590"/>
      <c r="AD55" s="590"/>
      <c r="AE55" s="592">
        <f>SUM(AA55:AD55)</f>
        <v>0</v>
      </c>
      <c r="AF55" s="592">
        <f>Z55+AE55</f>
        <v>8235027.4946500007</v>
      </c>
      <c r="AG55" s="600">
        <f>ROUND(((E55+F55+G55+K55+L55+W55+AR55)*12%),-2)</f>
        <v>14496900</v>
      </c>
      <c r="AH55" s="596">
        <f>ROUND(((E55+F55+G55+K55+L55+W55+AR55)*8.5%),-2)</f>
        <v>10268600</v>
      </c>
      <c r="AI55" s="601">
        <f>+(E55+F55+G55+H55+J55+K55+L55+M55+N55+W55+X55+AR55)*8.333333333/100</f>
        <v>11811272.055793695</v>
      </c>
      <c r="AJ55" s="596">
        <f>+ROUND((E55+F55+G55+H55+J55+K55+L55+N55+W55+X55)*4/100,-2)</f>
        <v>5196300</v>
      </c>
      <c r="AK55" s="601">
        <f>ROUND(((E55+F55+G55+K55+L55+W55+AR55)*0.522%),-2)</f>
        <v>630600</v>
      </c>
      <c r="AL55" s="596">
        <f>+ROUND((+E55+F55+G55+H55+J55+K55+L55+N55+W55+X55)*3/100,-2)</f>
        <v>3897200</v>
      </c>
      <c r="AM55" s="601">
        <f>+ROUND((E55+F55+G55+H55+J55+K55+L55+N55+W55+X55)*0.5/100,-2)</f>
        <v>649500</v>
      </c>
      <c r="AN55" s="596">
        <f>+ROUND((+E55+F55+G55+H55+J55+K55+L55+N55+W55+X55)*0.5/100,-2)</f>
        <v>649500</v>
      </c>
      <c r="AO55" s="590">
        <f>+ROUND((E55+F55+G55+H55+J55+K55+L55+N55+W55+X55)*1/100,-2)</f>
        <v>1299100</v>
      </c>
      <c r="AP55" s="590"/>
      <c r="AQ55" s="608">
        <f>SUM(AG55:AP55)</f>
        <v>48898972.055793695</v>
      </c>
      <c r="AR55" s="596">
        <f>522500*2</f>
        <v>1045000</v>
      </c>
      <c r="AS55" s="596"/>
      <c r="AT55" s="597">
        <f>SUM(AR55:AS55)</f>
        <v>1045000</v>
      </c>
      <c r="AU55" s="592">
        <f>V55+AF55+AQ55</f>
        <v>190232973.69738746</v>
      </c>
      <c r="AV55" s="547"/>
      <c r="AW55" s="547"/>
      <c r="AX55" s="547"/>
      <c r="AY55" s="547"/>
      <c r="AZ55" s="547"/>
    </row>
    <row r="56" spans="1:52" s="530" customFormat="1" ht="11.25" x14ac:dyDescent="0.2">
      <c r="A56" s="606" t="s">
        <v>1296</v>
      </c>
      <c r="B56" s="612" t="s">
        <v>1297</v>
      </c>
      <c r="C56" s="589">
        <f>4+4</f>
        <v>8</v>
      </c>
      <c r="D56" s="590">
        <f>1700148*1.034</f>
        <v>1757953.0320000001</v>
      </c>
      <c r="E56" s="590">
        <f>((D56*11)+D56/30*8)*C56</f>
        <v>158450166.61760002</v>
      </c>
      <c r="F56" s="590"/>
      <c r="G56" s="590"/>
      <c r="H56" s="590">
        <f>(62878*1.034)*C56*12</f>
        <v>6241521.7919999994</v>
      </c>
      <c r="I56" s="590"/>
      <c r="J56" s="591">
        <f>+((D56+(H56/12/C56)+(K56/12/C56))/720*360)*C56</f>
        <v>7584867.7080000006</v>
      </c>
      <c r="K56" s="591">
        <f>IF(D56&gt;$D$56,(D56*0.35),(D56)*0.5)*C56</f>
        <v>7031812.1280000005</v>
      </c>
      <c r="L56" s="590">
        <f>(1000000*1.034)*C56*12</f>
        <v>99264000</v>
      </c>
      <c r="M56" s="591">
        <f>+(D56+(((H56+J56+K56+N56)/12)/C56)/360*360)*C56</f>
        <v>16460216.380208334</v>
      </c>
      <c r="N56" s="590">
        <f>+((D56+(H56/12/C56)+(J56/12/C56)+(K56/12/C56))/30*15)*C56</f>
        <v>7900903.8625000007</v>
      </c>
      <c r="O56" s="590"/>
      <c r="P56" s="592">
        <f>SUM(E56:O56)</f>
        <v>302933488.48830831</v>
      </c>
      <c r="Q56" s="590"/>
      <c r="R56" s="590"/>
      <c r="S56" s="590"/>
      <c r="T56" s="590"/>
      <c r="U56" s="590">
        <f t="shared" ref="U56" si="95">SUM(Q56:T56)</f>
        <v>0</v>
      </c>
      <c r="V56" s="592">
        <f t="shared" ref="V56" si="96">P56+U56</f>
        <v>302933488.48830831</v>
      </c>
      <c r="W56" s="590">
        <f>+((D56+(H56/12/C56)+(K56/12/C56)+(J56/12/C56))/30*22)*C56</f>
        <v>11587992.331666667</v>
      </c>
      <c r="X56" s="590"/>
      <c r="Y56" s="590">
        <f>(D56/30*2)*C56</f>
        <v>937574.95040000009</v>
      </c>
      <c r="Z56" s="592">
        <f>SUM(W56:Y56)</f>
        <v>12525567.282066667</v>
      </c>
      <c r="AA56" s="590"/>
      <c r="AB56" s="590"/>
      <c r="AC56" s="590"/>
      <c r="AD56" s="590"/>
      <c r="AE56" s="592">
        <f t="shared" ref="AE56" si="97">SUM(AA56:AD56)</f>
        <v>0</v>
      </c>
      <c r="AF56" s="592">
        <f t="shared" ref="AF56" si="98">Z56+AE56</f>
        <v>12525567.282066667</v>
      </c>
      <c r="AG56" s="600">
        <f>ROUND(((E56+F56+G56+K56+L56+W56+AR56)*12%),-2)</f>
        <v>33661700</v>
      </c>
      <c r="AH56" s="596">
        <f>ROUND(((E56+F56+G56+K56+L56+W56+AR56)*8.5%),-2)</f>
        <v>23843700</v>
      </c>
      <c r="AI56" s="601">
        <f>+(E56+F56+G56+H56+J56+K56+L56+M56+N56+W56+X56+AR56)*8.333333333/100</f>
        <v>26558456.733935576</v>
      </c>
      <c r="AJ56" s="596">
        <f>+ROUND((E56+F56+G56+H56+J56+K56+L56+N56+W56+X56)*4/100,-2)</f>
        <v>11922500</v>
      </c>
      <c r="AK56" s="601">
        <f>ROUND(((E56+F56+G56+K56+L56+W56+AR56)*0.522%),-2)</f>
        <v>1464300</v>
      </c>
      <c r="AL56" s="596">
        <f>+ROUND((+E56+F56+G56+H56+J56+K56+L56+N56+W56+X56)*3/100,-2)</f>
        <v>8941800</v>
      </c>
      <c r="AM56" s="601">
        <f>+ROUND((E56+F56+G56+H56+J56+K56+L56+N56+W56+X56)*0.5/100,-2)</f>
        <v>1490300</v>
      </c>
      <c r="AN56" s="596">
        <f>+ROUND((+E56+F56+G56+H56+J56+K56+L56+N56+W56+X56)*0.5/100,-2)</f>
        <v>1490300</v>
      </c>
      <c r="AO56" s="590">
        <f>+ROUND((E56+F56+G56+H56+J56+K56+L56+N56+W56+X56)*1/100,-2)</f>
        <v>2980600</v>
      </c>
      <c r="AP56" s="590"/>
      <c r="AQ56" s="608">
        <f t="shared" ref="AQ56" si="99">SUM(AG56:AP56)</f>
        <v>112353656.73393558</v>
      </c>
      <c r="AR56" s="596">
        <f>522500*C56</f>
        <v>4180000</v>
      </c>
      <c r="AS56" s="596"/>
      <c r="AT56" s="597">
        <f t="shared" ref="AT56" si="100">SUM(AR56:AS56)</f>
        <v>4180000</v>
      </c>
      <c r="AU56" s="592">
        <f t="shared" ref="AU56" si="101">V56+AF56+AQ56</f>
        <v>427812712.50431055</v>
      </c>
      <c r="AV56" s="547"/>
      <c r="AW56" s="547"/>
      <c r="AX56" s="547"/>
      <c r="AY56" s="547"/>
      <c r="AZ56" s="547"/>
    </row>
    <row r="57" spans="1:52" s="530" customFormat="1" ht="12" thickBot="1" x14ac:dyDescent="0.25">
      <c r="A57" s="606"/>
      <c r="B57" s="612"/>
      <c r="C57" s="613"/>
      <c r="D57" s="590"/>
      <c r="E57" s="590"/>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2"/>
      <c r="AF57" s="592"/>
      <c r="AG57" s="596"/>
      <c r="AH57" s="596"/>
      <c r="AI57" s="596"/>
      <c r="AJ57" s="596"/>
      <c r="AK57" s="596"/>
      <c r="AL57" s="596"/>
      <c r="AM57" s="596"/>
      <c r="AN57" s="596"/>
      <c r="AO57" s="590"/>
      <c r="AP57" s="590"/>
      <c r="AQ57" s="608"/>
      <c r="AR57" s="596"/>
      <c r="AS57" s="596"/>
      <c r="AT57" s="597"/>
      <c r="AU57" s="592"/>
      <c r="AV57" s="547"/>
      <c r="AW57" s="547"/>
      <c r="AX57" s="547"/>
      <c r="AY57" s="547"/>
      <c r="AZ57" s="547"/>
    </row>
    <row r="58" spans="1:52" s="113" customFormat="1" ht="12.75" thickTop="1" thickBot="1" x14ac:dyDescent="0.25">
      <c r="A58" s="616" t="s">
        <v>1298</v>
      </c>
      <c r="B58" s="617"/>
      <c r="C58" s="618">
        <f>C54+C51+C36+C28+C18+C15</f>
        <v>121</v>
      </c>
      <c r="D58" s="619">
        <f t="shared" ref="D58:O58" si="102">D15+D18+D28+D36+D51+D54</f>
        <v>762510346.04799986</v>
      </c>
      <c r="E58" s="619">
        <f t="shared" si="102"/>
        <v>8590949898.8074665</v>
      </c>
      <c r="F58" s="619">
        <f t="shared" si="102"/>
        <v>725010698.5333333</v>
      </c>
      <c r="G58" s="619">
        <f t="shared" si="102"/>
        <v>3216099547.7400002</v>
      </c>
      <c r="H58" s="619">
        <f t="shared" si="102"/>
        <v>6241521.7919999994</v>
      </c>
      <c r="I58" s="619">
        <f t="shared" si="102"/>
        <v>0</v>
      </c>
      <c r="J58" s="619">
        <f t="shared" si="102"/>
        <v>563749148.13562298</v>
      </c>
      <c r="K58" s="619">
        <f t="shared" si="102"/>
        <v>385313589.14695001</v>
      </c>
      <c r="L58" s="619">
        <f t="shared" si="102"/>
        <v>99264000</v>
      </c>
      <c r="M58" s="619">
        <f t="shared" si="102"/>
        <v>1223413949.9470985</v>
      </c>
      <c r="N58" s="619">
        <f t="shared" si="102"/>
        <v>587238695.97460735</v>
      </c>
      <c r="O58" s="619">
        <f t="shared" si="102"/>
        <v>0</v>
      </c>
      <c r="P58" s="619">
        <f>SUM(E58:O58)</f>
        <v>15397281050.077078</v>
      </c>
      <c r="Q58" s="619">
        <f>Q15+Q18+Q28+Q36+Q51+Q54</f>
        <v>0</v>
      </c>
      <c r="R58" s="619">
        <f>R15+R18+R28+R36+R51+R54</f>
        <v>0</v>
      </c>
      <c r="S58" s="619">
        <f>S15+S18+S28+S36+S51+S54</f>
        <v>0</v>
      </c>
      <c r="T58" s="619">
        <f>T15+T18+T28+T36+T51+T54</f>
        <v>0</v>
      </c>
      <c r="U58" s="620">
        <f>SUM(Q58:T58)</f>
        <v>0</v>
      </c>
      <c r="V58" s="620">
        <f>P58+U58</f>
        <v>15397281050.077078</v>
      </c>
      <c r="W58" s="619">
        <f>W15+W18+W28+W36+W51+W54</f>
        <v>861283420.7627573</v>
      </c>
      <c r="X58" s="619">
        <f>X15+X18+X28+X36+X51+X54</f>
        <v>103400000</v>
      </c>
      <c r="Y58" s="619">
        <f>Y15+Y18+Y28+Y36+Y51+Y54</f>
        <v>55124027.203199998</v>
      </c>
      <c r="Z58" s="619">
        <f>SUM(W58:Y58)</f>
        <v>1019807447.9659573</v>
      </c>
      <c r="AA58" s="619">
        <f>AA15+AA18+AA28+AA36+AA51+AA54</f>
        <v>0</v>
      </c>
      <c r="AB58" s="619">
        <f>AB15+AB18+AB28+AB36+AB51+AB54</f>
        <v>57455435</v>
      </c>
      <c r="AC58" s="619">
        <f>AC15+AC18+AC28+AC36+AC51+AC54</f>
        <v>0</v>
      </c>
      <c r="AD58" s="619">
        <f>AD15+AD18+AD28+AD36+AD51+AD54</f>
        <v>0</v>
      </c>
      <c r="AE58" s="619">
        <f>SUM(AA58:AD58)</f>
        <v>57455435</v>
      </c>
      <c r="AF58" s="619">
        <f>Z58+AE58</f>
        <v>1077262882.9659572</v>
      </c>
      <c r="AG58" s="619">
        <f t="shared" ref="AG58:AP58" si="103">AG15+AG18+AG28+AG36+AG51+AG54</f>
        <v>1674971800</v>
      </c>
      <c r="AH58" s="619">
        <f t="shared" si="103"/>
        <v>1186438600</v>
      </c>
      <c r="AI58" s="619">
        <f t="shared" si="103"/>
        <v>1370178497.5151794</v>
      </c>
      <c r="AJ58" s="619">
        <f t="shared" si="103"/>
        <v>605541900</v>
      </c>
      <c r="AK58" s="619">
        <f t="shared" si="103"/>
        <v>72861100</v>
      </c>
      <c r="AL58" s="619">
        <f t="shared" si="103"/>
        <v>454156400</v>
      </c>
      <c r="AM58" s="619">
        <f t="shared" si="103"/>
        <v>75692700</v>
      </c>
      <c r="AN58" s="619">
        <f t="shared" si="103"/>
        <v>75692700</v>
      </c>
      <c r="AO58" s="619">
        <f t="shared" si="103"/>
        <v>151385400</v>
      </c>
      <c r="AP58" s="619">
        <f t="shared" si="103"/>
        <v>0</v>
      </c>
      <c r="AQ58" s="620">
        <f>SUM(AG58:AP58)</f>
        <v>5666919097.5151796</v>
      </c>
      <c r="AR58" s="619">
        <f>AR15+AR18+AR28+AR36+AR51+AR54</f>
        <v>80177500</v>
      </c>
      <c r="AS58" s="619">
        <f>AS15+AS18+AS28+AS36+AS51+AS54</f>
        <v>0</v>
      </c>
      <c r="AT58" s="620">
        <f>SUM(AR58:AS58)</f>
        <v>80177500</v>
      </c>
      <c r="AU58" s="621">
        <f>V58+AF58+AQ58</f>
        <v>22141463030.558216</v>
      </c>
      <c r="AV58" s="547"/>
      <c r="AW58" s="547"/>
      <c r="AX58" s="547"/>
      <c r="AY58" s="547"/>
      <c r="AZ58" s="547"/>
    </row>
    <row r="59" spans="1:52" s="113" customFormat="1" ht="12.75" hidden="1" thickTop="1" thickBot="1" x14ac:dyDescent="0.25">
      <c r="A59" s="622" t="s">
        <v>1299</v>
      </c>
      <c r="B59" s="623"/>
      <c r="C59" s="624"/>
      <c r="D59" s="625"/>
      <c r="E59" s="625"/>
      <c r="F59" s="625"/>
      <c r="G59" s="625"/>
      <c r="H59" s="625"/>
      <c r="I59" s="625"/>
      <c r="J59" s="625"/>
      <c r="K59" s="625"/>
      <c r="L59" s="625"/>
      <c r="M59" s="625"/>
      <c r="N59" s="625"/>
      <c r="O59" s="625"/>
      <c r="P59" s="625"/>
      <c r="Q59" s="625"/>
      <c r="R59" s="625"/>
      <c r="S59" s="625"/>
      <c r="T59" s="626"/>
      <c r="U59" s="627"/>
      <c r="V59" s="625"/>
      <c r="W59" s="625"/>
      <c r="X59" s="625"/>
      <c r="Y59" s="625"/>
      <c r="Z59" s="625"/>
      <c r="AA59" s="625"/>
      <c r="AB59" s="625"/>
      <c r="AC59" s="625"/>
      <c r="AD59" s="625"/>
      <c r="AE59" s="625"/>
      <c r="AF59" s="625"/>
      <c r="AG59" s="627"/>
      <c r="AH59" s="627"/>
      <c r="AI59" s="627"/>
      <c r="AJ59" s="627"/>
      <c r="AK59" s="627"/>
      <c r="AL59" s="627"/>
      <c r="AM59" s="627"/>
      <c r="AN59" s="627"/>
      <c r="AO59" s="625"/>
      <c r="AP59" s="626"/>
      <c r="AQ59" s="627"/>
      <c r="AR59" s="627"/>
      <c r="AS59" s="627"/>
      <c r="AT59" s="627"/>
      <c r="AU59" s="625"/>
      <c r="AV59" s="547"/>
      <c r="AW59" s="547"/>
      <c r="AX59" s="547"/>
      <c r="AY59" s="547"/>
      <c r="AZ59" s="547"/>
    </row>
    <row r="60" spans="1:52" s="530" customFormat="1" ht="12.75" hidden="1" thickTop="1" thickBot="1" x14ac:dyDescent="0.25">
      <c r="A60" s="606"/>
      <c r="B60" s="612"/>
      <c r="C60" s="589"/>
      <c r="D60" s="590"/>
      <c r="E60" s="590"/>
      <c r="F60" s="590"/>
      <c r="G60" s="590"/>
      <c r="H60" s="590"/>
      <c r="I60" s="590"/>
      <c r="J60" s="590"/>
      <c r="K60" s="590"/>
      <c r="L60" s="590"/>
      <c r="M60" s="590"/>
      <c r="N60" s="590"/>
      <c r="O60" s="590"/>
      <c r="P60" s="590">
        <f>SUM(E60:O60)</f>
        <v>0</v>
      </c>
      <c r="Q60" s="590"/>
      <c r="R60" s="590"/>
      <c r="S60" s="590"/>
      <c r="T60" s="601"/>
      <c r="U60" s="596">
        <f t="shared" ref="U60:U61" si="104">SUM(Q60:T60)</f>
        <v>0</v>
      </c>
      <c r="V60" s="590">
        <f>P60+U60</f>
        <v>0</v>
      </c>
      <c r="W60" s="590"/>
      <c r="X60" s="590"/>
      <c r="Y60" s="590"/>
      <c r="Z60" s="590"/>
      <c r="AA60" s="590"/>
      <c r="AB60" s="590"/>
      <c r="AC60" s="590"/>
      <c r="AD60" s="590"/>
      <c r="AE60" s="590">
        <f>SUM(AA60:AD60)</f>
        <v>0</v>
      </c>
      <c r="AF60" s="590"/>
      <c r="AG60" s="596"/>
      <c r="AH60" s="596"/>
      <c r="AI60" s="596"/>
      <c r="AJ60" s="596"/>
      <c r="AK60" s="596"/>
      <c r="AL60" s="596"/>
      <c r="AM60" s="596"/>
      <c r="AN60" s="596"/>
      <c r="AO60" s="590"/>
      <c r="AP60" s="601"/>
      <c r="AQ60" s="596">
        <f>SUM(AG60:AP60)</f>
        <v>0</v>
      </c>
      <c r="AR60" s="596"/>
      <c r="AS60" s="596"/>
      <c r="AT60" s="597">
        <f>SUM(AR60:AS60)</f>
        <v>0</v>
      </c>
      <c r="AU60" s="592"/>
      <c r="AV60" s="547"/>
      <c r="AW60" s="547"/>
      <c r="AX60" s="547"/>
      <c r="AY60" s="547"/>
      <c r="AZ60" s="547"/>
    </row>
    <row r="61" spans="1:52" s="530" customFormat="1" ht="12.75" hidden="1" thickTop="1" thickBot="1" x14ac:dyDescent="0.25">
      <c r="A61" s="628"/>
      <c r="B61" s="612"/>
      <c r="C61" s="589"/>
      <c r="D61" s="590"/>
      <c r="E61" s="590"/>
      <c r="F61" s="590"/>
      <c r="G61" s="590"/>
      <c r="H61" s="590"/>
      <c r="I61" s="590"/>
      <c r="J61" s="590"/>
      <c r="K61" s="590"/>
      <c r="L61" s="590"/>
      <c r="M61" s="590"/>
      <c r="N61" s="590"/>
      <c r="O61" s="590"/>
      <c r="P61" s="590">
        <f>SUM(E61:O61)</f>
        <v>0</v>
      </c>
      <c r="Q61" s="590"/>
      <c r="R61" s="590"/>
      <c r="S61" s="590"/>
      <c r="T61" s="601"/>
      <c r="U61" s="596">
        <f t="shared" si="104"/>
        <v>0</v>
      </c>
      <c r="V61" s="590">
        <f>P61+U61</f>
        <v>0</v>
      </c>
      <c r="W61" s="590"/>
      <c r="X61" s="590"/>
      <c r="Y61" s="590"/>
      <c r="Z61" s="590"/>
      <c r="AA61" s="590"/>
      <c r="AB61" s="590"/>
      <c r="AC61" s="590"/>
      <c r="AD61" s="590"/>
      <c r="AE61" s="590">
        <f t="shared" ref="AE61" si="105">SUM(AA61:AD61)</f>
        <v>0</v>
      </c>
      <c r="AF61" s="590"/>
      <c r="AG61" s="596"/>
      <c r="AH61" s="629"/>
      <c r="AI61" s="629"/>
      <c r="AJ61" s="629"/>
      <c r="AK61" s="596"/>
      <c r="AL61" s="596"/>
      <c r="AM61" s="629"/>
      <c r="AN61" s="629"/>
      <c r="AO61" s="590"/>
      <c r="AP61" s="601"/>
      <c r="AQ61" s="596">
        <f t="shared" ref="AQ61" si="106">SUM(AG61:AP61)</f>
        <v>0</v>
      </c>
      <c r="AR61" s="596"/>
      <c r="AS61" s="596"/>
      <c r="AT61" s="597">
        <f t="shared" ref="AT61" si="107">SUM(AR61:AS61)</f>
        <v>0</v>
      </c>
      <c r="AU61" s="592"/>
      <c r="AV61" s="547"/>
      <c r="AW61" s="547"/>
      <c r="AX61" s="547"/>
      <c r="AY61" s="547"/>
      <c r="AZ61" s="547"/>
    </row>
    <row r="62" spans="1:52" s="113" customFormat="1" ht="12.75" hidden="1" thickTop="1" thickBot="1" x14ac:dyDescent="0.25">
      <c r="A62" s="616" t="s">
        <v>1300</v>
      </c>
      <c r="B62" s="630"/>
      <c r="C62" s="631">
        <f t="shared" ref="C62:AT62" si="108">SUM(C60:C61)</f>
        <v>0</v>
      </c>
      <c r="D62" s="632">
        <f t="shared" si="108"/>
        <v>0</v>
      </c>
      <c r="E62" s="632">
        <f t="shared" si="108"/>
        <v>0</v>
      </c>
      <c r="F62" s="632">
        <f t="shared" si="108"/>
        <v>0</v>
      </c>
      <c r="G62" s="632">
        <f t="shared" si="108"/>
        <v>0</v>
      </c>
      <c r="H62" s="632">
        <f t="shared" si="108"/>
        <v>0</v>
      </c>
      <c r="I62" s="632">
        <f t="shared" si="108"/>
        <v>0</v>
      </c>
      <c r="J62" s="632">
        <f t="shared" si="108"/>
        <v>0</v>
      </c>
      <c r="K62" s="632">
        <f t="shared" si="108"/>
        <v>0</v>
      </c>
      <c r="L62" s="632">
        <f t="shared" si="108"/>
        <v>0</v>
      </c>
      <c r="M62" s="632">
        <f t="shared" si="108"/>
        <v>0</v>
      </c>
      <c r="N62" s="632">
        <f t="shared" si="108"/>
        <v>0</v>
      </c>
      <c r="O62" s="632">
        <f t="shared" si="108"/>
        <v>0</v>
      </c>
      <c r="P62" s="632">
        <f t="shared" si="108"/>
        <v>0</v>
      </c>
      <c r="Q62" s="632">
        <f t="shared" si="108"/>
        <v>0</v>
      </c>
      <c r="R62" s="632">
        <f t="shared" si="108"/>
        <v>0</v>
      </c>
      <c r="S62" s="632">
        <f t="shared" si="108"/>
        <v>0</v>
      </c>
      <c r="T62" s="632">
        <f t="shared" si="108"/>
        <v>0</v>
      </c>
      <c r="U62" s="633">
        <f t="shared" si="108"/>
        <v>0</v>
      </c>
      <c r="V62" s="633">
        <f t="shared" si="108"/>
        <v>0</v>
      </c>
      <c r="W62" s="632">
        <f t="shared" si="108"/>
        <v>0</v>
      </c>
      <c r="X62" s="632">
        <f t="shared" si="108"/>
        <v>0</v>
      </c>
      <c r="Y62" s="632">
        <f t="shared" si="108"/>
        <v>0</v>
      </c>
      <c r="Z62" s="632">
        <f t="shared" si="108"/>
        <v>0</v>
      </c>
      <c r="AA62" s="632">
        <f t="shared" si="108"/>
        <v>0</v>
      </c>
      <c r="AB62" s="632">
        <f t="shared" si="108"/>
        <v>0</v>
      </c>
      <c r="AC62" s="632">
        <f t="shared" si="108"/>
        <v>0</v>
      </c>
      <c r="AD62" s="632">
        <f t="shared" si="108"/>
        <v>0</v>
      </c>
      <c r="AE62" s="632">
        <f t="shared" si="108"/>
        <v>0</v>
      </c>
      <c r="AF62" s="632">
        <f t="shared" si="108"/>
        <v>0</v>
      </c>
      <c r="AG62" s="632">
        <f t="shared" si="108"/>
        <v>0</v>
      </c>
      <c r="AH62" s="632">
        <f t="shared" si="108"/>
        <v>0</v>
      </c>
      <c r="AI62" s="632">
        <f t="shared" si="108"/>
        <v>0</v>
      </c>
      <c r="AJ62" s="632">
        <f t="shared" si="108"/>
        <v>0</v>
      </c>
      <c r="AK62" s="632">
        <f t="shared" si="108"/>
        <v>0</v>
      </c>
      <c r="AL62" s="632">
        <f t="shared" si="108"/>
        <v>0</v>
      </c>
      <c r="AM62" s="632">
        <f t="shared" si="108"/>
        <v>0</v>
      </c>
      <c r="AN62" s="632">
        <f t="shared" si="108"/>
        <v>0</v>
      </c>
      <c r="AO62" s="632">
        <f t="shared" si="108"/>
        <v>0</v>
      </c>
      <c r="AP62" s="632">
        <f t="shared" si="108"/>
        <v>0</v>
      </c>
      <c r="AQ62" s="633">
        <f t="shared" si="108"/>
        <v>0</v>
      </c>
      <c r="AR62" s="632">
        <f t="shared" si="108"/>
        <v>0</v>
      </c>
      <c r="AS62" s="632">
        <f t="shared" si="108"/>
        <v>0</v>
      </c>
      <c r="AT62" s="632">
        <f t="shared" si="108"/>
        <v>0</v>
      </c>
      <c r="AU62" s="634">
        <f>V62+AF62+AQ62</f>
        <v>0</v>
      </c>
      <c r="AV62" s="547"/>
      <c r="AW62" s="547"/>
      <c r="AX62" s="547"/>
      <c r="AY62" s="547"/>
      <c r="AZ62" s="547"/>
    </row>
    <row r="63" spans="1:52" s="113" customFormat="1" ht="12.75" thickTop="1" thickBot="1" x14ac:dyDescent="0.25">
      <c r="A63" s="616" t="s">
        <v>1301</v>
      </c>
      <c r="B63" s="630"/>
      <c r="C63" s="631">
        <f t="shared" ref="C63:O63" si="109">C58+C62</f>
        <v>121</v>
      </c>
      <c r="D63" s="632">
        <f t="shared" si="109"/>
        <v>762510346.04799986</v>
      </c>
      <c r="E63" s="632">
        <f t="shared" si="109"/>
        <v>8590949898.8074665</v>
      </c>
      <c r="F63" s="632">
        <f t="shared" si="109"/>
        <v>725010698.5333333</v>
      </c>
      <c r="G63" s="632">
        <f t="shared" si="109"/>
        <v>3216099547.7400002</v>
      </c>
      <c r="H63" s="632">
        <f t="shared" si="109"/>
        <v>6241521.7919999994</v>
      </c>
      <c r="I63" s="632">
        <f t="shared" si="109"/>
        <v>0</v>
      </c>
      <c r="J63" s="632">
        <f t="shared" si="109"/>
        <v>563749148.13562298</v>
      </c>
      <c r="K63" s="632">
        <f t="shared" si="109"/>
        <v>385313589.14695001</v>
      </c>
      <c r="L63" s="632">
        <f t="shared" si="109"/>
        <v>99264000</v>
      </c>
      <c r="M63" s="632">
        <f t="shared" si="109"/>
        <v>1223413949.9470985</v>
      </c>
      <c r="N63" s="632">
        <f t="shared" si="109"/>
        <v>587238695.97460735</v>
      </c>
      <c r="O63" s="632">
        <f t="shared" si="109"/>
        <v>0</v>
      </c>
      <c r="P63" s="632">
        <f>SUM(E63:O63)</f>
        <v>15397281050.077078</v>
      </c>
      <c r="Q63" s="632">
        <f>Q58+Q62</f>
        <v>0</v>
      </c>
      <c r="R63" s="632">
        <f>R58+R62</f>
        <v>0</v>
      </c>
      <c r="S63" s="632">
        <f>S58+S62</f>
        <v>0</v>
      </c>
      <c r="T63" s="632">
        <f>T58+T62</f>
        <v>0</v>
      </c>
      <c r="U63" s="633">
        <f>SUM(Q63:T63)</f>
        <v>0</v>
      </c>
      <c r="V63" s="633">
        <f>P63+U63</f>
        <v>15397281050.077078</v>
      </c>
      <c r="W63" s="632">
        <f>W58+W62</f>
        <v>861283420.7627573</v>
      </c>
      <c r="X63" s="632">
        <f>X58+X62</f>
        <v>103400000</v>
      </c>
      <c r="Y63" s="632">
        <f>Y58+Y62</f>
        <v>55124027.203199998</v>
      </c>
      <c r="Z63" s="632">
        <f>SUM(W63:Y63)</f>
        <v>1019807447.9659573</v>
      </c>
      <c r="AA63" s="632">
        <f>AA58+AA62</f>
        <v>0</v>
      </c>
      <c r="AB63" s="632">
        <f>AB58+AB62</f>
        <v>57455435</v>
      </c>
      <c r="AC63" s="632">
        <f>AC58+AC62</f>
        <v>0</v>
      </c>
      <c r="AD63" s="632">
        <f>AD58+AD62</f>
        <v>0</v>
      </c>
      <c r="AE63" s="632">
        <f>SUM(AA63:AD63)</f>
        <v>57455435</v>
      </c>
      <c r="AF63" s="632">
        <f>Z63+AE63</f>
        <v>1077262882.9659572</v>
      </c>
      <c r="AG63" s="632">
        <f t="shared" ref="AG63:AP63" si="110">AG58+AG62</f>
        <v>1674971800</v>
      </c>
      <c r="AH63" s="632">
        <f t="shared" si="110"/>
        <v>1186438600</v>
      </c>
      <c r="AI63" s="632">
        <f t="shared" si="110"/>
        <v>1370178497.5151794</v>
      </c>
      <c r="AJ63" s="632">
        <f t="shared" si="110"/>
        <v>605541900</v>
      </c>
      <c r="AK63" s="632">
        <f t="shared" si="110"/>
        <v>72861100</v>
      </c>
      <c r="AL63" s="632">
        <f t="shared" si="110"/>
        <v>454156400</v>
      </c>
      <c r="AM63" s="632">
        <f t="shared" si="110"/>
        <v>75692700</v>
      </c>
      <c r="AN63" s="632">
        <f t="shared" si="110"/>
        <v>75692700</v>
      </c>
      <c r="AO63" s="632">
        <f t="shared" si="110"/>
        <v>151385400</v>
      </c>
      <c r="AP63" s="632">
        <f t="shared" si="110"/>
        <v>0</v>
      </c>
      <c r="AQ63" s="633">
        <f>SUM(AG63:AP63)</f>
        <v>5666919097.5151796</v>
      </c>
      <c r="AR63" s="632">
        <f>AR58+AR62</f>
        <v>80177500</v>
      </c>
      <c r="AS63" s="632">
        <f>AS58+AS62</f>
        <v>0</v>
      </c>
      <c r="AT63" s="635">
        <f>SUM(AR63:AS63)</f>
        <v>80177500</v>
      </c>
      <c r="AU63" s="634">
        <f>V63+AF63+AQ63</f>
        <v>22141463030.558216</v>
      </c>
      <c r="AV63" s="547"/>
      <c r="AW63" s="547"/>
      <c r="AX63" s="547"/>
      <c r="AY63" s="547"/>
      <c r="AZ63" s="547"/>
    </row>
    <row r="64" spans="1:52" s="642" customFormat="1" ht="12" thickTop="1" x14ac:dyDescent="0.2">
      <c r="A64" s="643"/>
      <c r="B64" s="644"/>
      <c r="C64" s="644"/>
      <c r="D64" s="645"/>
      <c r="E64" s="645"/>
      <c r="F64" s="645"/>
      <c r="G64" s="645"/>
      <c r="H64" s="645"/>
      <c r="I64" s="645"/>
      <c r="J64" s="645"/>
      <c r="K64" s="645"/>
      <c r="L64" s="645"/>
      <c r="M64" s="645"/>
      <c r="N64" s="645"/>
      <c r="O64" s="645"/>
      <c r="P64" s="645"/>
      <c r="Q64" s="645"/>
      <c r="R64" s="645"/>
      <c r="S64" s="645"/>
      <c r="T64" s="645"/>
      <c r="U64" s="645"/>
      <c r="V64" s="645"/>
      <c r="W64" s="638"/>
      <c r="X64" s="638"/>
      <c r="Y64" s="638"/>
      <c r="Z64" s="638"/>
      <c r="AA64" s="638"/>
      <c r="AB64" s="638"/>
      <c r="AC64" s="638"/>
      <c r="AD64" s="638"/>
      <c r="AE64" s="638"/>
      <c r="AF64" s="638"/>
      <c r="AG64" s="638"/>
      <c r="AH64" s="645"/>
      <c r="AI64" s="645"/>
      <c r="AJ64" s="645"/>
      <c r="AK64" s="638"/>
      <c r="AL64" s="638"/>
      <c r="AM64" s="638"/>
      <c r="AN64" s="638"/>
      <c r="AO64" s="638"/>
      <c r="AP64" s="638"/>
      <c r="AQ64" s="638"/>
      <c r="AR64" s="638"/>
      <c r="AS64" s="638"/>
      <c r="AT64" s="638"/>
      <c r="AU64" s="638"/>
      <c r="AV64" s="641"/>
      <c r="AW64" s="641"/>
      <c r="AX64" s="641"/>
      <c r="AY64" s="641"/>
      <c r="AZ64" s="641"/>
    </row>
    <row r="65" spans="1:52" s="642" customFormat="1" ht="11.25" x14ac:dyDescent="0.2">
      <c r="A65" s="638"/>
      <c r="B65" s="638"/>
      <c r="C65" s="638"/>
      <c r="D65" s="638"/>
      <c r="E65" s="638"/>
      <c r="F65" s="638"/>
      <c r="G65" s="638"/>
      <c r="H65" s="638"/>
      <c r="I65" s="638"/>
      <c r="J65" s="638"/>
      <c r="K65" s="638"/>
      <c r="L65" s="638"/>
      <c r="M65" s="638"/>
      <c r="N65" s="638"/>
      <c r="O65" s="638"/>
      <c r="P65" s="638"/>
      <c r="Q65" s="638"/>
      <c r="R65" s="638"/>
      <c r="S65" s="638"/>
      <c r="T65" s="638"/>
      <c r="U65" s="638"/>
      <c r="V65" s="638"/>
      <c r="W65" s="638"/>
      <c r="X65" s="638"/>
      <c r="Y65" s="638"/>
      <c r="Z65" s="638"/>
      <c r="AA65" s="638"/>
      <c r="AB65" s="638"/>
      <c r="AC65" s="638"/>
      <c r="AD65" s="638"/>
      <c r="AE65" s="638"/>
      <c r="AF65" s="638"/>
      <c r="AG65" s="638"/>
      <c r="AH65" s="638"/>
      <c r="AI65" s="638"/>
      <c r="AJ65" s="638"/>
      <c r="AK65" s="638"/>
      <c r="AL65" s="638"/>
      <c r="AM65" s="638"/>
      <c r="AN65" s="638"/>
      <c r="AO65" s="638"/>
      <c r="AP65" s="638"/>
      <c r="AQ65" s="638"/>
      <c r="AR65" s="638"/>
      <c r="AS65" s="638"/>
      <c r="AT65" s="639"/>
      <c r="AU65" s="640"/>
      <c r="AV65" s="641"/>
      <c r="AW65" s="641"/>
      <c r="AX65" s="641"/>
      <c r="AY65" s="641"/>
      <c r="AZ65" s="641"/>
    </row>
    <row r="66" spans="1:52" x14ac:dyDescent="0.25">
      <c r="AU66" s="636"/>
    </row>
  </sheetData>
  <mergeCells count="60">
    <mergeCell ref="D7:K7"/>
    <mergeCell ref="A1:AU1"/>
    <mergeCell ref="A2:AU2"/>
    <mergeCell ref="A3:AU3"/>
    <mergeCell ref="B4:L4"/>
    <mergeCell ref="B5:L5"/>
    <mergeCell ref="A9:A12"/>
    <mergeCell ref="B9:B12"/>
    <mergeCell ref="C9:C12"/>
    <mergeCell ref="D9:V9"/>
    <mergeCell ref="W9:AF9"/>
    <mergeCell ref="AR10:AR12"/>
    <mergeCell ref="AR9:AT9"/>
    <mergeCell ref="AU9:AU12"/>
    <mergeCell ref="D10:P10"/>
    <mergeCell ref="Q10:U10"/>
    <mergeCell ref="V10:V12"/>
    <mergeCell ref="W10:Z10"/>
    <mergeCell ref="AA10:AE10"/>
    <mergeCell ref="AF10:AF12"/>
    <mergeCell ref="AG10:AG12"/>
    <mergeCell ref="AH10:AH12"/>
    <mergeCell ref="AG9:AQ9"/>
    <mergeCell ref="AI10:AI12"/>
    <mergeCell ref="AJ10:AJ12"/>
    <mergeCell ref="AK10:AK12"/>
    <mergeCell ref="AL10:AL12"/>
    <mergeCell ref="R11:R12"/>
    <mergeCell ref="AS10:AS12"/>
    <mergeCell ref="AT10:AT12"/>
    <mergeCell ref="D11:E11"/>
    <mergeCell ref="F11:F12"/>
    <mergeCell ref="G11:G12"/>
    <mergeCell ref="H11:H12"/>
    <mergeCell ref="I11:I12"/>
    <mergeCell ref="J11:J12"/>
    <mergeCell ref="K11:K12"/>
    <mergeCell ref="L11:L12"/>
    <mergeCell ref="AM10:AM12"/>
    <mergeCell ref="AN10:AN12"/>
    <mergeCell ref="AO10:AO12"/>
    <mergeCell ref="AP10:AP12"/>
    <mergeCell ref="AQ10:AQ12"/>
    <mergeCell ref="M11:M12"/>
    <mergeCell ref="N11:N12"/>
    <mergeCell ref="O11:O12"/>
    <mergeCell ref="P11:P12"/>
    <mergeCell ref="Q11:Q12"/>
    <mergeCell ref="AE11:AE12"/>
    <mergeCell ref="S11:S12"/>
    <mergeCell ref="T11:T12"/>
    <mergeCell ref="U11:U12"/>
    <mergeCell ref="W11:W12"/>
    <mergeCell ref="X11:X12"/>
    <mergeCell ref="Y11:Y12"/>
    <mergeCell ref="Z11:Z12"/>
    <mergeCell ref="AA11:AA12"/>
    <mergeCell ref="AB11:AB12"/>
    <mergeCell ref="AC11:AC12"/>
    <mergeCell ref="AD11:AD12"/>
  </mergeCells>
  <printOptions horizontalCentered="1"/>
  <pageMargins left="0.78740157480314965" right="0.39370078740157483" top="0.78740157480314965" bottom="0.59055118110236227" header="0.31496062992125984" footer="0.31496062992125984"/>
  <pageSetup paperSize="300" scale="6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E014-E2FA-434A-9DC9-0645E423E9F6}">
  <dimension ref="A1:S97"/>
  <sheetViews>
    <sheetView zoomScaleNormal="100" workbookViewId="0">
      <selection activeCell="L9" sqref="L9"/>
    </sheetView>
  </sheetViews>
  <sheetFormatPr baseColWidth="10" defaultRowHeight="11.25" x14ac:dyDescent="0.2"/>
  <cols>
    <col min="1" max="2" width="11.42578125" style="530"/>
    <col min="3" max="3" width="30.7109375" style="113" bestFit="1" customWidth="1"/>
    <col min="4" max="9" width="11.42578125" style="113"/>
    <col min="10" max="10" width="15.85546875" style="113" customWidth="1"/>
    <col min="11" max="19" width="11.42578125" style="530"/>
    <col min="20" max="16384" width="11.42578125" style="113"/>
  </cols>
  <sheetData>
    <row r="1" spans="3:10" s="530" customFormat="1" x14ac:dyDescent="0.2">
      <c r="C1" s="918" t="s">
        <v>0</v>
      </c>
      <c r="D1" s="918"/>
      <c r="E1" s="918"/>
      <c r="F1" s="918"/>
      <c r="G1" s="918"/>
      <c r="H1" s="918"/>
      <c r="I1" s="918"/>
      <c r="J1" s="918"/>
    </row>
    <row r="2" spans="3:10" s="530" customFormat="1" x14ac:dyDescent="0.2">
      <c r="C2" s="918" t="s">
        <v>62</v>
      </c>
      <c r="D2" s="918"/>
      <c r="E2" s="918"/>
      <c r="F2" s="918"/>
      <c r="G2" s="918"/>
      <c r="H2" s="918"/>
      <c r="I2" s="918"/>
      <c r="J2" s="918"/>
    </row>
    <row r="3" spans="3:10" s="530" customFormat="1" x14ac:dyDescent="0.2">
      <c r="C3" s="918" t="s">
        <v>1302</v>
      </c>
      <c r="D3" s="918"/>
      <c r="E3" s="918"/>
      <c r="F3" s="918"/>
      <c r="G3" s="918"/>
      <c r="H3" s="918"/>
      <c r="I3" s="918"/>
      <c r="J3" s="918"/>
    </row>
    <row r="4" spans="3:10" s="530" customFormat="1" x14ac:dyDescent="0.2">
      <c r="C4" s="672"/>
      <c r="D4" s="673"/>
      <c r="E4" s="673"/>
      <c r="F4" s="673"/>
      <c r="G4" s="673"/>
      <c r="H4" s="673"/>
      <c r="I4" s="673"/>
      <c r="J4" s="673"/>
    </row>
    <row r="5" spans="3:10" s="530" customFormat="1" x14ac:dyDescent="0.2">
      <c r="C5" s="646" t="s">
        <v>20</v>
      </c>
      <c r="D5" s="907" t="s">
        <v>218</v>
      </c>
      <c r="E5" s="907"/>
      <c r="F5" s="907"/>
      <c r="G5" s="907"/>
      <c r="H5" s="907"/>
      <c r="I5" s="907"/>
      <c r="J5" s="907"/>
    </row>
    <row r="6" spans="3:10" s="530" customFormat="1" x14ac:dyDescent="0.2">
      <c r="C6" s="646" t="s">
        <v>115</v>
      </c>
      <c r="D6" s="919" t="s">
        <v>438</v>
      </c>
      <c r="E6" s="919"/>
      <c r="F6" s="919"/>
      <c r="G6" s="919"/>
      <c r="H6" s="919"/>
      <c r="I6" s="919"/>
      <c r="J6" s="919"/>
    </row>
    <row r="7" spans="3:10" s="530" customFormat="1" x14ac:dyDescent="0.2">
      <c r="C7" s="674"/>
      <c r="D7" s="675"/>
      <c r="E7" s="675"/>
      <c r="F7" s="675"/>
      <c r="G7" s="675"/>
      <c r="H7" s="675"/>
      <c r="I7" s="675"/>
      <c r="J7" s="675"/>
    </row>
    <row r="8" spans="3:10" s="530" customFormat="1" x14ac:dyDescent="0.2">
      <c r="C8" s="920" t="s">
        <v>1303</v>
      </c>
      <c r="D8" s="921"/>
      <c r="E8" s="921"/>
      <c r="F8" s="922"/>
      <c r="G8" s="647"/>
      <c r="H8" s="647"/>
      <c r="I8" s="62">
        <v>2020</v>
      </c>
      <c r="J8" s="675"/>
    </row>
    <row r="9" spans="3:10" s="530" customFormat="1" ht="12" thickBot="1" x14ac:dyDescent="0.25">
      <c r="C9" s="674"/>
      <c r="D9" s="675"/>
      <c r="E9" s="675"/>
      <c r="F9" s="675"/>
      <c r="G9" s="675"/>
      <c r="H9" s="675"/>
      <c r="I9" s="675"/>
      <c r="J9" s="675"/>
    </row>
    <row r="10" spans="3:10" s="530" customFormat="1" ht="12" thickTop="1" x14ac:dyDescent="0.2">
      <c r="C10" s="911" t="s">
        <v>1304</v>
      </c>
      <c r="D10" s="714" t="s">
        <v>1189</v>
      </c>
      <c r="E10" s="714" t="s">
        <v>1305</v>
      </c>
      <c r="F10" s="915" t="s">
        <v>1306</v>
      </c>
      <c r="G10" s="916"/>
      <c r="H10" s="917"/>
      <c r="I10" s="714" t="s">
        <v>1307</v>
      </c>
      <c r="J10" s="714" t="s">
        <v>1308</v>
      </c>
    </row>
    <row r="11" spans="3:10" s="530" customFormat="1" x14ac:dyDescent="0.2">
      <c r="C11" s="912"/>
      <c r="D11" s="715"/>
      <c r="E11" s="715"/>
      <c r="F11" s="870" t="s">
        <v>1309</v>
      </c>
      <c r="G11" s="878" t="s">
        <v>1310</v>
      </c>
      <c r="H11" s="879"/>
      <c r="I11" s="715"/>
      <c r="J11" s="715"/>
    </row>
    <row r="12" spans="3:10" s="530" customFormat="1" ht="12" thickBot="1" x14ac:dyDescent="0.25">
      <c r="C12" s="913"/>
      <c r="D12" s="914"/>
      <c r="E12" s="914"/>
      <c r="F12" s="914"/>
      <c r="G12" s="648" t="s">
        <v>1311</v>
      </c>
      <c r="H12" s="648" t="s">
        <v>1312</v>
      </c>
      <c r="I12" s="914"/>
      <c r="J12" s="914"/>
    </row>
    <row r="13" spans="3:10" s="530" customFormat="1" ht="12.75" thickTop="1" thickBot="1" x14ac:dyDescent="0.25">
      <c r="C13" s="649"/>
      <c r="D13" s="648"/>
      <c r="E13" s="648">
        <v>1</v>
      </c>
      <c r="F13" s="648">
        <v>2</v>
      </c>
      <c r="G13" s="648">
        <v>3</v>
      </c>
      <c r="H13" s="648">
        <v>4</v>
      </c>
      <c r="I13" s="650" t="s">
        <v>1313</v>
      </c>
      <c r="J13" s="648" t="s">
        <v>1314</v>
      </c>
    </row>
    <row r="14" spans="3:10" s="530" customFormat="1" ht="12.75" thickTop="1" thickBot="1" x14ac:dyDescent="0.25">
      <c r="C14" s="651" t="s">
        <v>1315</v>
      </c>
      <c r="D14" s="652"/>
      <c r="E14" s="653"/>
      <c r="F14" s="653"/>
      <c r="G14" s="653"/>
      <c r="H14" s="653"/>
      <c r="I14" s="654"/>
      <c r="J14" s="652"/>
    </row>
    <row r="15" spans="3:10" s="530" customFormat="1" ht="12" thickTop="1" x14ac:dyDescent="0.2">
      <c r="C15" s="655" t="s">
        <v>1249</v>
      </c>
      <c r="D15" s="656"/>
      <c r="E15" s="676">
        <f>+E16</f>
        <v>3</v>
      </c>
      <c r="F15" s="676">
        <f>+F16</f>
        <v>3</v>
      </c>
      <c r="G15" s="676">
        <f>+G16</f>
        <v>0</v>
      </c>
      <c r="H15" s="676">
        <f>+H16</f>
        <v>0</v>
      </c>
      <c r="I15" s="676">
        <f>G15+F15+H15</f>
        <v>3</v>
      </c>
      <c r="J15" s="677">
        <f t="shared" ref="J15:J43" si="0">E15-I15</f>
        <v>0</v>
      </c>
    </row>
    <row r="16" spans="3:10" s="530" customFormat="1" x14ac:dyDescent="0.2">
      <c r="C16" s="657" t="s">
        <v>1316</v>
      </c>
      <c r="D16" s="658" t="s">
        <v>1317</v>
      </c>
      <c r="E16" s="678">
        <v>3</v>
      </c>
      <c r="F16" s="678">
        <v>3</v>
      </c>
      <c r="G16" s="678"/>
      <c r="H16" s="678"/>
      <c r="I16" s="678">
        <f t="shared" ref="I16:I43" si="1">G16+F16+H16</f>
        <v>3</v>
      </c>
      <c r="J16" s="678">
        <f t="shared" si="0"/>
        <v>0</v>
      </c>
    </row>
    <row r="17" spans="3:10" s="530" customFormat="1" x14ac:dyDescent="0.2">
      <c r="C17" s="659" t="s">
        <v>1253</v>
      </c>
      <c r="D17" s="660"/>
      <c r="E17" s="676">
        <f>SUM(E18:E25)</f>
        <v>31</v>
      </c>
      <c r="F17" s="676">
        <f>SUM(F18:F25)</f>
        <v>30</v>
      </c>
      <c r="G17" s="676">
        <f>SUM(G18:G25)</f>
        <v>0</v>
      </c>
      <c r="H17" s="676">
        <f>SUM(H18:H25)</f>
        <v>0</v>
      </c>
      <c r="I17" s="676">
        <f t="shared" si="1"/>
        <v>30</v>
      </c>
      <c r="J17" s="676">
        <f t="shared" si="0"/>
        <v>1</v>
      </c>
    </row>
    <row r="18" spans="3:10" s="530" customFormat="1" x14ac:dyDescent="0.2">
      <c r="C18" s="657" t="s">
        <v>1318</v>
      </c>
      <c r="D18" s="658" t="s">
        <v>1255</v>
      </c>
      <c r="E18" s="678">
        <v>1</v>
      </c>
      <c r="F18" s="678">
        <v>1</v>
      </c>
      <c r="G18" s="678"/>
      <c r="H18" s="678"/>
      <c r="I18" s="678">
        <f t="shared" si="1"/>
        <v>1</v>
      </c>
      <c r="J18" s="678">
        <f t="shared" si="0"/>
        <v>0</v>
      </c>
    </row>
    <row r="19" spans="3:10" s="530" customFormat="1" x14ac:dyDescent="0.2">
      <c r="C19" s="657" t="s">
        <v>1319</v>
      </c>
      <c r="D19" s="658" t="s">
        <v>1257</v>
      </c>
      <c r="E19" s="678">
        <v>8</v>
      </c>
      <c r="F19" s="678">
        <v>8</v>
      </c>
      <c r="G19" s="678"/>
      <c r="H19" s="678"/>
      <c r="I19" s="678">
        <f t="shared" si="1"/>
        <v>8</v>
      </c>
      <c r="J19" s="678">
        <f t="shared" si="0"/>
        <v>0</v>
      </c>
    </row>
    <row r="20" spans="3:10" s="530" customFormat="1" x14ac:dyDescent="0.2">
      <c r="C20" s="657" t="s">
        <v>1320</v>
      </c>
      <c r="D20" s="658" t="s">
        <v>1259</v>
      </c>
      <c r="E20" s="678">
        <v>5</v>
      </c>
      <c r="F20" s="678">
        <v>5</v>
      </c>
      <c r="G20" s="678"/>
      <c r="H20" s="678"/>
      <c r="I20" s="678">
        <f t="shared" si="1"/>
        <v>5</v>
      </c>
      <c r="J20" s="678">
        <f t="shared" si="0"/>
        <v>0</v>
      </c>
    </row>
    <row r="21" spans="3:10" s="530" customFormat="1" x14ac:dyDescent="0.2">
      <c r="C21" s="657" t="s">
        <v>1321</v>
      </c>
      <c r="D21" s="658" t="s">
        <v>1261</v>
      </c>
      <c r="E21" s="678">
        <v>6</v>
      </c>
      <c r="F21" s="678">
        <v>6</v>
      </c>
      <c r="G21" s="678"/>
      <c r="H21" s="678"/>
      <c r="I21" s="678">
        <f t="shared" si="1"/>
        <v>6</v>
      </c>
      <c r="J21" s="678">
        <f t="shared" si="0"/>
        <v>0</v>
      </c>
    </row>
    <row r="22" spans="3:10" s="530" customFormat="1" x14ac:dyDescent="0.2">
      <c r="C22" s="657" t="s">
        <v>1322</v>
      </c>
      <c r="D22" s="658" t="s">
        <v>1263</v>
      </c>
      <c r="E22" s="678">
        <v>3</v>
      </c>
      <c r="F22" s="678">
        <v>3</v>
      </c>
      <c r="G22" s="678"/>
      <c r="H22" s="678"/>
      <c r="I22" s="678">
        <f t="shared" si="1"/>
        <v>3</v>
      </c>
      <c r="J22" s="678">
        <f t="shared" si="0"/>
        <v>0</v>
      </c>
    </row>
    <row r="23" spans="3:10" s="530" customFormat="1" x14ac:dyDescent="0.2">
      <c r="C23" s="657" t="s">
        <v>1323</v>
      </c>
      <c r="D23" s="658" t="s">
        <v>1267</v>
      </c>
      <c r="E23" s="678">
        <v>1</v>
      </c>
      <c r="F23" s="678">
        <v>1</v>
      </c>
      <c r="G23" s="678"/>
      <c r="H23" s="678"/>
      <c r="I23" s="678">
        <f t="shared" si="1"/>
        <v>1</v>
      </c>
      <c r="J23" s="678">
        <f t="shared" si="0"/>
        <v>0</v>
      </c>
    </row>
    <row r="24" spans="3:10" s="530" customFormat="1" x14ac:dyDescent="0.2">
      <c r="C24" s="657" t="s">
        <v>1324</v>
      </c>
      <c r="D24" s="658" t="s">
        <v>1269</v>
      </c>
      <c r="E24" s="678">
        <v>6</v>
      </c>
      <c r="F24" s="678">
        <v>5</v>
      </c>
      <c r="G24" s="678"/>
      <c r="H24" s="678"/>
      <c r="I24" s="678">
        <f t="shared" si="1"/>
        <v>5</v>
      </c>
      <c r="J24" s="678">
        <f t="shared" si="0"/>
        <v>1</v>
      </c>
    </row>
    <row r="25" spans="3:10" s="530" customFormat="1" x14ac:dyDescent="0.2">
      <c r="C25" s="657" t="s">
        <v>1325</v>
      </c>
      <c r="D25" s="658" t="s">
        <v>1271</v>
      </c>
      <c r="E25" s="678">
        <v>1</v>
      </c>
      <c r="F25" s="678">
        <v>1</v>
      </c>
      <c r="G25" s="678"/>
      <c r="H25" s="678"/>
      <c r="I25" s="678">
        <f t="shared" si="1"/>
        <v>1</v>
      </c>
      <c r="J25" s="678">
        <f t="shared" si="0"/>
        <v>0</v>
      </c>
    </row>
    <row r="26" spans="3:10" s="530" customFormat="1" x14ac:dyDescent="0.2">
      <c r="C26" s="659" t="s">
        <v>1273</v>
      </c>
      <c r="D26" s="660"/>
      <c r="E26" s="676">
        <f>SUM(E27:E38)</f>
        <v>36</v>
      </c>
      <c r="F26" s="676">
        <f>SUM(F27:F38)</f>
        <v>0</v>
      </c>
      <c r="G26" s="676">
        <f>SUM(G27:G38)</f>
        <v>4</v>
      </c>
      <c r="H26" s="676">
        <f>SUM(H27:H38)</f>
        <v>32</v>
      </c>
      <c r="I26" s="676">
        <f t="shared" si="1"/>
        <v>36</v>
      </c>
      <c r="J26" s="676">
        <f t="shared" si="0"/>
        <v>0</v>
      </c>
    </row>
    <row r="27" spans="3:10" s="530" customFormat="1" x14ac:dyDescent="0.2">
      <c r="C27" s="657" t="s">
        <v>1326</v>
      </c>
      <c r="D27" s="658" t="s">
        <v>1276</v>
      </c>
      <c r="E27" s="678">
        <v>8</v>
      </c>
      <c r="F27" s="678"/>
      <c r="G27" s="678">
        <v>1</v>
      </c>
      <c r="H27" s="678">
        <v>7</v>
      </c>
      <c r="I27" s="678">
        <f t="shared" si="1"/>
        <v>8</v>
      </c>
      <c r="J27" s="678">
        <f t="shared" si="0"/>
        <v>0</v>
      </c>
    </row>
    <row r="28" spans="3:10" s="530" customFormat="1" x14ac:dyDescent="0.2">
      <c r="C28" s="657" t="s">
        <v>1326</v>
      </c>
      <c r="D28" s="658" t="s">
        <v>1277</v>
      </c>
      <c r="E28" s="678">
        <v>7</v>
      </c>
      <c r="F28" s="678"/>
      <c r="G28" s="678"/>
      <c r="H28" s="678">
        <v>7</v>
      </c>
      <c r="I28" s="678">
        <f t="shared" si="1"/>
        <v>7</v>
      </c>
      <c r="J28" s="678">
        <f t="shared" si="0"/>
        <v>0</v>
      </c>
    </row>
    <row r="29" spans="3:10" s="530" customFormat="1" x14ac:dyDescent="0.2">
      <c r="C29" s="657" t="s">
        <v>1326</v>
      </c>
      <c r="D29" s="658" t="s">
        <v>1278</v>
      </c>
      <c r="E29" s="678">
        <v>4</v>
      </c>
      <c r="F29" s="678"/>
      <c r="G29" s="678"/>
      <c r="H29" s="678">
        <v>4</v>
      </c>
      <c r="I29" s="678">
        <f t="shared" si="1"/>
        <v>4</v>
      </c>
      <c r="J29" s="678">
        <f t="shared" si="0"/>
        <v>0</v>
      </c>
    </row>
    <row r="30" spans="3:10" s="530" customFormat="1" x14ac:dyDescent="0.2">
      <c r="C30" s="657" t="s">
        <v>1326</v>
      </c>
      <c r="D30" s="658" t="s">
        <v>1279</v>
      </c>
      <c r="E30" s="678">
        <v>1</v>
      </c>
      <c r="F30" s="678"/>
      <c r="G30" s="678"/>
      <c r="H30" s="678">
        <v>1</v>
      </c>
      <c r="I30" s="678">
        <f t="shared" si="1"/>
        <v>1</v>
      </c>
      <c r="J30" s="678">
        <f t="shared" si="0"/>
        <v>0</v>
      </c>
    </row>
    <row r="31" spans="3:10" s="530" customFormat="1" x14ac:dyDescent="0.2">
      <c r="C31" s="657" t="s">
        <v>1326</v>
      </c>
      <c r="D31" s="658" t="s">
        <v>1280</v>
      </c>
      <c r="E31" s="678">
        <v>2</v>
      </c>
      <c r="F31" s="678"/>
      <c r="G31" s="678">
        <v>1</v>
      </c>
      <c r="H31" s="678">
        <v>1</v>
      </c>
      <c r="I31" s="678">
        <f t="shared" si="1"/>
        <v>2</v>
      </c>
      <c r="J31" s="678">
        <f t="shared" si="0"/>
        <v>0</v>
      </c>
    </row>
    <row r="32" spans="3:10" s="530" customFormat="1" x14ac:dyDescent="0.2">
      <c r="C32" s="657" t="s">
        <v>1326</v>
      </c>
      <c r="D32" s="658" t="s">
        <v>1282</v>
      </c>
      <c r="E32" s="678">
        <v>1</v>
      </c>
      <c r="F32" s="678"/>
      <c r="G32" s="678"/>
      <c r="H32" s="678">
        <v>1</v>
      </c>
      <c r="I32" s="678">
        <f t="shared" si="1"/>
        <v>1</v>
      </c>
      <c r="J32" s="678">
        <f t="shared" si="0"/>
        <v>0</v>
      </c>
    </row>
    <row r="33" spans="3:10" s="530" customFormat="1" x14ac:dyDescent="0.2">
      <c r="C33" s="657" t="s">
        <v>1327</v>
      </c>
      <c r="D33" s="658" t="s">
        <v>1284</v>
      </c>
      <c r="E33" s="678">
        <v>4</v>
      </c>
      <c r="F33" s="678"/>
      <c r="G33" s="678"/>
      <c r="H33" s="678">
        <v>4</v>
      </c>
      <c r="I33" s="678">
        <f t="shared" si="1"/>
        <v>4</v>
      </c>
      <c r="J33" s="678">
        <f t="shared" si="0"/>
        <v>0</v>
      </c>
    </row>
    <row r="34" spans="3:10" s="530" customFormat="1" x14ac:dyDescent="0.2">
      <c r="C34" s="657" t="s">
        <v>1327</v>
      </c>
      <c r="D34" s="658" t="s">
        <v>1285</v>
      </c>
      <c r="E34" s="678">
        <v>2</v>
      </c>
      <c r="F34" s="678"/>
      <c r="G34" s="678">
        <v>1</v>
      </c>
      <c r="H34" s="678">
        <v>1</v>
      </c>
      <c r="I34" s="678">
        <f t="shared" si="1"/>
        <v>2</v>
      </c>
      <c r="J34" s="678">
        <f t="shared" si="0"/>
        <v>0</v>
      </c>
    </row>
    <row r="35" spans="3:10" s="530" customFormat="1" x14ac:dyDescent="0.2">
      <c r="C35" s="657" t="s">
        <v>1328</v>
      </c>
      <c r="D35" s="658" t="s">
        <v>1286</v>
      </c>
      <c r="E35" s="678">
        <v>1</v>
      </c>
      <c r="F35" s="678"/>
      <c r="G35" s="678">
        <v>1</v>
      </c>
      <c r="H35" s="678">
        <v>0</v>
      </c>
      <c r="I35" s="678">
        <f t="shared" si="1"/>
        <v>1</v>
      </c>
      <c r="J35" s="678">
        <f t="shared" si="0"/>
        <v>0</v>
      </c>
    </row>
    <row r="36" spans="3:10" s="530" customFormat="1" x14ac:dyDescent="0.2">
      <c r="C36" s="657" t="s">
        <v>1328</v>
      </c>
      <c r="D36" s="658" t="s">
        <v>1287</v>
      </c>
      <c r="E36" s="678">
        <v>1</v>
      </c>
      <c r="F36" s="678"/>
      <c r="G36" s="678"/>
      <c r="H36" s="678">
        <v>1</v>
      </c>
      <c r="I36" s="678">
        <f t="shared" si="1"/>
        <v>1</v>
      </c>
      <c r="J36" s="678">
        <f t="shared" si="0"/>
        <v>0</v>
      </c>
    </row>
    <row r="37" spans="3:10" s="530" customFormat="1" x14ac:dyDescent="0.2">
      <c r="C37" s="657" t="s">
        <v>1328</v>
      </c>
      <c r="D37" s="658" t="s">
        <v>1288</v>
      </c>
      <c r="E37" s="678">
        <v>4</v>
      </c>
      <c r="F37" s="678"/>
      <c r="G37" s="678"/>
      <c r="H37" s="678">
        <v>4</v>
      </c>
      <c r="I37" s="678">
        <f t="shared" si="1"/>
        <v>4</v>
      </c>
      <c r="J37" s="678">
        <f t="shared" si="0"/>
        <v>0</v>
      </c>
    </row>
    <row r="38" spans="3:10" s="530" customFormat="1" x14ac:dyDescent="0.2">
      <c r="C38" s="657" t="s">
        <v>1328</v>
      </c>
      <c r="D38" s="658" t="s">
        <v>1289</v>
      </c>
      <c r="E38" s="678">
        <v>1</v>
      </c>
      <c r="F38" s="678"/>
      <c r="G38" s="678"/>
      <c r="H38" s="678">
        <v>1</v>
      </c>
      <c r="I38" s="678">
        <f t="shared" si="1"/>
        <v>1</v>
      </c>
      <c r="J38" s="678">
        <f t="shared" si="0"/>
        <v>0</v>
      </c>
    </row>
    <row r="39" spans="3:10" s="530" customFormat="1" x14ac:dyDescent="0.2">
      <c r="C39" s="659" t="s">
        <v>1329</v>
      </c>
      <c r="D39" s="660"/>
      <c r="E39" s="676">
        <f>+E40</f>
        <v>4</v>
      </c>
      <c r="F39" s="676">
        <f>+F40</f>
        <v>0</v>
      </c>
      <c r="G39" s="676">
        <f>+G40</f>
        <v>3</v>
      </c>
      <c r="H39" s="676">
        <f>+H40</f>
        <v>1</v>
      </c>
      <c r="I39" s="676">
        <f t="shared" si="1"/>
        <v>4</v>
      </c>
      <c r="J39" s="676">
        <f t="shared" si="0"/>
        <v>0</v>
      </c>
    </row>
    <row r="40" spans="3:10" s="530" customFormat="1" x14ac:dyDescent="0.2">
      <c r="C40" s="657" t="s">
        <v>1330</v>
      </c>
      <c r="D40" s="658" t="s">
        <v>1292</v>
      </c>
      <c r="E40" s="678">
        <v>4</v>
      </c>
      <c r="F40" s="678"/>
      <c r="G40" s="678">
        <v>3</v>
      </c>
      <c r="H40" s="678">
        <v>1</v>
      </c>
      <c r="I40" s="678">
        <f t="shared" si="1"/>
        <v>4</v>
      </c>
      <c r="J40" s="678">
        <f t="shared" si="0"/>
        <v>0</v>
      </c>
    </row>
    <row r="41" spans="3:10" s="530" customFormat="1" x14ac:dyDescent="0.2">
      <c r="C41" s="659" t="s">
        <v>1293</v>
      </c>
      <c r="D41" s="660"/>
      <c r="E41" s="676">
        <f>+E42+E43</f>
        <v>7</v>
      </c>
      <c r="F41" s="676">
        <f>+F42+F43</f>
        <v>1</v>
      </c>
      <c r="G41" s="676">
        <f>+G42+G43</f>
        <v>2</v>
      </c>
      <c r="H41" s="676">
        <f>+H42+H43</f>
        <v>3</v>
      </c>
      <c r="I41" s="676">
        <f t="shared" si="1"/>
        <v>6</v>
      </c>
      <c r="J41" s="676">
        <f t="shared" si="0"/>
        <v>1</v>
      </c>
    </row>
    <row r="42" spans="3:10" s="530" customFormat="1" x14ac:dyDescent="0.2">
      <c r="C42" s="657" t="s">
        <v>1331</v>
      </c>
      <c r="D42" s="658" t="s">
        <v>1295</v>
      </c>
      <c r="E42" s="678">
        <v>3</v>
      </c>
      <c r="F42" s="678">
        <v>1</v>
      </c>
      <c r="G42" s="678">
        <v>1</v>
      </c>
      <c r="H42" s="678">
        <v>0</v>
      </c>
      <c r="I42" s="678">
        <f t="shared" si="1"/>
        <v>2</v>
      </c>
      <c r="J42" s="678">
        <f t="shared" si="0"/>
        <v>1</v>
      </c>
    </row>
    <row r="43" spans="3:10" s="530" customFormat="1" x14ac:dyDescent="0.2">
      <c r="C43" s="657" t="s">
        <v>1332</v>
      </c>
      <c r="D43" s="658" t="s">
        <v>1297</v>
      </c>
      <c r="E43" s="678">
        <v>4</v>
      </c>
      <c r="F43" s="678"/>
      <c r="G43" s="678">
        <v>1</v>
      </c>
      <c r="H43" s="678">
        <v>3</v>
      </c>
      <c r="I43" s="678">
        <f t="shared" si="1"/>
        <v>4</v>
      </c>
      <c r="J43" s="678">
        <f t="shared" si="0"/>
        <v>0</v>
      </c>
    </row>
    <row r="44" spans="3:10" s="530" customFormat="1" ht="12" thickBot="1" x14ac:dyDescent="0.25">
      <c r="C44" s="679"/>
      <c r="D44" s="678"/>
      <c r="E44" s="678"/>
      <c r="F44" s="678"/>
      <c r="G44" s="678"/>
      <c r="H44" s="678"/>
      <c r="I44" s="678"/>
      <c r="J44" s="678"/>
    </row>
    <row r="45" spans="3:10" s="530" customFormat="1" ht="12.75" thickTop="1" thickBot="1" x14ac:dyDescent="0.25">
      <c r="C45" s="661" t="s">
        <v>1333</v>
      </c>
      <c r="D45" s="661"/>
      <c r="E45" s="662">
        <f t="shared" ref="E45:J45" si="2">+E15+E17+E26+E39+E41</f>
        <v>81</v>
      </c>
      <c r="F45" s="662">
        <f t="shared" si="2"/>
        <v>34</v>
      </c>
      <c r="G45" s="662">
        <f t="shared" si="2"/>
        <v>9</v>
      </c>
      <c r="H45" s="662">
        <f t="shared" si="2"/>
        <v>36</v>
      </c>
      <c r="I45" s="662">
        <f t="shared" si="2"/>
        <v>79</v>
      </c>
      <c r="J45" s="663">
        <f t="shared" si="2"/>
        <v>2</v>
      </c>
    </row>
    <row r="46" spans="3:10" s="530" customFormat="1" ht="12.75" thickTop="1" thickBot="1" x14ac:dyDescent="0.25">
      <c r="C46" s="664" t="s">
        <v>1334</v>
      </c>
      <c r="D46" s="665"/>
      <c r="E46" s="666"/>
      <c r="F46" s="666"/>
      <c r="G46" s="666"/>
      <c r="H46" s="666"/>
      <c r="I46" s="667"/>
      <c r="J46" s="665"/>
    </row>
    <row r="47" spans="3:10" s="530" customFormat="1" ht="12" thickTop="1" x14ac:dyDescent="0.2">
      <c r="C47" s="680"/>
      <c r="D47" s="678"/>
      <c r="E47" s="678"/>
      <c r="F47" s="678"/>
      <c r="G47" s="678"/>
      <c r="H47" s="678"/>
      <c r="I47" s="678">
        <f>F47+G47+H47</f>
        <v>0</v>
      </c>
      <c r="J47" s="678">
        <f>E47-I47</f>
        <v>0</v>
      </c>
    </row>
    <row r="48" spans="3:10" s="530" customFormat="1" ht="12" thickBot="1" x14ac:dyDescent="0.25">
      <c r="C48" s="680"/>
      <c r="D48" s="678"/>
      <c r="E48" s="678"/>
      <c r="F48" s="678"/>
      <c r="G48" s="678"/>
      <c r="H48" s="678"/>
      <c r="I48" s="678">
        <f t="shared" ref="I48" si="3">F48+G48+H48</f>
        <v>0</v>
      </c>
      <c r="J48" s="678">
        <f t="shared" ref="J48" si="4">E48-I48</f>
        <v>0</v>
      </c>
    </row>
    <row r="49" spans="3:10" s="530" customFormat="1" ht="12.75" thickTop="1" thickBot="1" x14ac:dyDescent="0.25">
      <c r="C49" s="661" t="s">
        <v>1335</v>
      </c>
      <c r="D49" s="661"/>
      <c r="E49" s="662">
        <f t="shared" ref="E49:J49" si="5">SUM(E47:E48)</f>
        <v>0</v>
      </c>
      <c r="F49" s="662">
        <f t="shared" si="5"/>
        <v>0</v>
      </c>
      <c r="G49" s="662">
        <f t="shared" si="5"/>
        <v>0</v>
      </c>
      <c r="H49" s="662">
        <f t="shared" si="5"/>
        <v>0</v>
      </c>
      <c r="I49" s="668">
        <f t="shared" si="5"/>
        <v>0</v>
      </c>
      <c r="J49" s="669">
        <f t="shared" si="5"/>
        <v>0</v>
      </c>
    </row>
    <row r="50" spans="3:10" s="530" customFormat="1" ht="12.75" thickTop="1" thickBot="1" x14ac:dyDescent="0.25">
      <c r="C50" s="661" t="s">
        <v>1336</v>
      </c>
      <c r="D50" s="670"/>
      <c r="E50" s="668">
        <f t="shared" ref="E50:J50" si="6">E45+E49</f>
        <v>81</v>
      </c>
      <c r="F50" s="668">
        <f t="shared" si="6"/>
        <v>34</v>
      </c>
      <c r="G50" s="668">
        <f t="shared" si="6"/>
        <v>9</v>
      </c>
      <c r="H50" s="668">
        <f t="shared" si="6"/>
        <v>36</v>
      </c>
      <c r="I50" s="668">
        <f t="shared" si="6"/>
        <v>79</v>
      </c>
      <c r="J50" s="669">
        <f t="shared" si="6"/>
        <v>2</v>
      </c>
    </row>
    <row r="51" spans="3:10" s="530" customFormat="1" ht="16.5" customHeight="1" thickTop="1" x14ac:dyDescent="0.2">
      <c r="C51" s="675"/>
      <c r="D51" s="675"/>
      <c r="E51" s="675"/>
      <c r="F51" s="675"/>
      <c r="G51" s="675"/>
      <c r="H51" s="675"/>
      <c r="I51" s="675"/>
      <c r="J51" s="675"/>
    </row>
    <row r="52" spans="3:10" s="530" customFormat="1" x14ac:dyDescent="0.2">
      <c r="C52" s="675"/>
      <c r="D52" s="675"/>
      <c r="E52" s="675"/>
      <c r="F52" s="675"/>
      <c r="G52" s="675"/>
      <c r="H52" s="675"/>
      <c r="I52" s="675"/>
      <c r="J52" s="675"/>
    </row>
    <row r="53" spans="3:10" s="530" customFormat="1" x14ac:dyDescent="0.2">
      <c r="C53" s="675"/>
      <c r="D53" s="675"/>
      <c r="E53" s="675"/>
      <c r="F53" s="675"/>
      <c r="G53" s="675"/>
      <c r="H53" s="675"/>
      <c r="I53" s="675"/>
      <c r="J53" s="675"/>
    </row>
    <row r="54" spans="3:10" s="530" customFormat="1" x14ac:dyDescent="0.2">
      <c r="C54" s="675"/>
      <c r="D54" s="675"/>
      <c r="E54" s="675"/>
      <c r="F54" s="675"/>
      <c r="G54" s="675"/>
      <c r="H54" s="675"/>
      <c r="I54" s="675"/>
      <c r="J54" s="675"/>
    </row>
    <row r="55" spans="3:10" s="530" customFormat="1" x14ac:dyDescent="0.2">
      <c r="C55" s="675"/>
      <c r="D55" s="675"/>
      <c r="E55" s="675"/>
      <c r="F55" s="675"/>
      <c r="G55" s="675"/>
      <c r="H55" s="675"/>
      <c r="I55" s="675"/>
      <c r="J55" s="675"/>
    </row>
    <row r="56" spans="3:10" s="530" customFormat="1" x14ac:dyDescent="0.2">
      <c r="C56" s="675"/>
      <c r="D56" s="675"/>
      <c r="E56" s="675"/>
      <c r="F56" s="675"/>
      <c r="G56" s="675"/>
      <c r="H56" s="675"/>
      <c r="I56" s="675"/>
      <c r="J56" s="675"/>
    </row>
    <row r="57" spans="3:10" s="530" customFormat="1" x14ac:dyDescent="0.2">
      <c r="C57" s="681" t="s">
        <v>1337</v>
      </c>
      <c r="D57" s="675"/>
      <c r="E57" s="675"/>
      <c r="F57" s="675"/>
      <c r="G57" s="675"/>
      <c r="H57" s="675"/>
      <c r="I57" s="909"/>
      <c r="J57" s="909"/>
    </row>
    <row r="58" spans="3:10" s="530" customFormat="1" x14ac:dyDescent="0.2">
      <c r="C58" s="671" t="s">
        <v>1338</v>
      </c>
      <c r="D58" s="675"/>
      <c r="E58" s="675"/>
      <c r="F58" s="675"/>
      <c r="G58" s="675"/>
      <c r="H58" s="675"/>
      <c r="I58" s="910" t="s">
        <v>1339</v>
      </c>
      <c r="J58" s="910"/>
    </row>
    <row r="59" spans="3:10" s="530" customFormat="1" x14ac:dyDescent="0.2"/>
    <row r="60" spans="3:10" s="530" customFormat="1" x14ac:dyDescent="0.2"/>
    <row r="61" spans="3:10" s="530" customFormat="1" x14ac:dyDescent="0.2"/>
    <row r="62" spans="3:10" s="530" customFormat="1" x14ac:dyDescent="0.2"/>
    <row r="63" spans="3:10" s="530" customFormat="1" x14ac:dyDescent="0.2"/>
    <row r="64" spans="3:10" s="530" customFormat="1" x14ac:dyDescent="0.2"/>
    <row r="65" s="530" customFormat="1" x14ac:dyDescent="0.2"/>
    <row r="66" s="530" customFormat="1" x14ac:dyDescent="0.2"/>
    <row r="67" s="530" customFormat="1" x14ac:dyDescent="0.2"/>
    <row r="68" s="530" customFormat="1" x14ac:dyDescent="0.2"/>
    <row r="69" s="530" customFormat="1" x14ac:dyDescent="0.2"/>
    <row r="70" s="530" customFormat="1" x14ac:dyDescent="0.2"/>
    <row r="71" s="530" customFormat="1" x14ac:dyDescent="0.2"/>
    <row r="72" s="530" customFormat="1" x14ac:dyDescent="0.2"/>
    <row r="73" s="530" customFormat="1" x14ac:dyDescent="0.2"/>
    <row r="74" s="530" customFormat="1" x14ac:dyDescent="0.2"/>
    <row r="75" s="530" customFormat="1" x14ac:dyDescent="0.2"/>
    <row r="76" s="530" customFormat="1" x14ac:dyDescent="0.2"/>
    <row r="77" s="530" customFormat="1" x14ac:dyDescent="0.2"/>
    <row r="78" s="530" customFormat="1" x14ac:dyDescent="0.2"/>
    <row r="79" s="530" customFormat="1" x14ac:dyDescent="0.2"/>
    <row r="80" s="530" customFormat="1" x14ac:dyDescent="0.2"/>
    <row r="81" s="530" customFormat="1" x14ac:dyDescent="0.2"/>
    <row r="82" s="530" customFormat="1" x14ac:dyDescent="0.2"/>
    <row r="83" s="530" customFormat="1" x14ac:dyDescent="0.2"/>
    <row r="84" s="530" customFormat="1" x14ac:dyDescent="0.2"/>
    <row r="85" s="530" customFormat="1" x14ac:dyDescent="0.2"/>
    <row r="86" s="530" customFormat="1" x14ac:dyDescent="0.2"/>
    <row r="87" s="530" customFormat="1" x14ac:dyDescent="0.2"/>
    <row r="88" s="530" customFormat="1" x14ac:dyDescent="0.2"/>
    <row r="89" s="530" customFormat="1" x14ac:dyDescent="0.2"/>
    <row r="90" s="530" customFormat="1" x14ac:dyDescent="0.2"/>
    <row r="91" s="530" customFormat="1" x14ac:dyDescent="0.2"/>
    <row r="92" s="530" customFormat="1" x14ac:dyDescent="0.2"/>
    <row r="93" s="530" customFormat="1" x14ac:dyDescent="0.2"/>
    <row r="94" s="530" customFormat="1" x14ac:dyDescent="0.2"/>
    <row r="95" s="530" customFormat="1" x14ac:dyDescent="0.2"/>
    <row r="96" s="530" customFormat="1" x14ac:dyDescent="0.2"/>
    <row r="97" s="530" customFormat="1" x14ac:dyDescent="0.2"/>
  </sheetData>
  <mergeCells count="16">
    <mergeCell ref="C8:F8"/>
    <mergeCell ref="C1:J1"/>
    <mergeCell ref="C2:J2"/>
    <mergeCell ref="C3:J3"/>
    <mergeCell ref="D5:J5"/>
    <mergeCell ref="D6:J6"/>
    <mergeCell ref="I57:J57"/>
    <mergeCell ref="I58:J58"/>
    <mergeCell ref="C10:C12"/>
    <mergeCell ref="D10:D12"/>
    <mergeCell ref="E10:E12"/>
    <mergeCell ref="F10:H10"/>
    <mergeCell ref="I10:I12"/>
    <mergeCell ref="J10:J12"/>
    <mergeCell ref="F11:F12"/>
    <mergeCell ref="G11:H11"/>
  </mergeCells>
  <pageMargins left="0.7" right="0.7" top="0.75" bottom="0.75" header="0.3" footer="0.3"/>
  <pageSetup paperSize="9" orientation="portrait" verticalDpi="597" r:id="rId1"/>
  <ignoredErrors>
    <ignoredError sqref="I15:J44 E15:G44 H15:H44 I45:J48 E45:H45 I49:J50 E49:H50" unlockedFormula="1"/>
    <ignoredError sqref="D5"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
  <dimension ref="A1:AL207"/>
  <sheetViews>
    <sheetView topLeftCell="C1" workbookViewId="0">
      <selection activeCell="C1" sqref="A1:XFD1048576"/>
    </sheetView>
  </sheetViews>
  <sheetFormatPr baseColWidth="10" defaultRowHeight="15" x14ac:dyDescent="0.25"/>
  <cols>
    <col min="1" max="1" width="8.140625" customWidth="1"/>
    <col min="2" max="2" width="88" customWidth="1"/>
    <col min="3" max="3" width="3.140625" customWidth="1"/>
    <col min="4" max="4" width="70.42578125" customWidth="1"/>
    <col min="5" max="5" width="4.7109375" bestFit="1" customWidth="1"/>
    <col min="6" max="6" width="3.140625" customWidth="1"/>
    <col min="7" max="7" width="30.140625" customWidth="1"/>
    <col min="8" max="8" width="4" style="296" customWidth="1"/>
    <col min="9" max="9" width="3.140625" customWidth="1"/>
    <col min="10" max="10" width="40.85546875" bestFit="1" customWidth="1"/>
    <col min="11" max="11" width="4.140625" style="295" bestFit="1" customWidth="1"/>
    <col min="12" max="12" width="3.140625" customWidth="1"/>
    <col min="13" max="13" width="48.85546875" bestFit="1" customWidth="1"/>
    <col min="14" max="14" width="4.140625" style="295" bestFit="1" customWidth="1"/>
    <col min="15" max="15" width="3.140625" customWidth="1"/>
    <col min="16" max="16" width="64.7109375" bestFit="1" customWidth="1"/>
    <col min="17" max="17" width="4.140625" style="295" bestFit="1" customWidth="1"/>
    <col min="18" max="18" width="3.140625" customWidth="1"/>
    <col min="19" max="19" width="51.42578125" customWidth="1"/>
    <col min="20" max="20" width="7.42578125" style="296" bestFit="1" customWidth="1"/>
    <col min="21" max="21" width="3.140625" customWidth="1"/>
    <col min="22" max="22" width="70.42578125" customWidth="1"/>
    <col min="23" max="23" width="3.7109375" style="296" customWidth="1"/>
    <col min="24" max="24" width="3.140625" customWidth="1"/>
    <col min="25" max="25" width="62.140625" bestFit="1" customWidth="1"/>
    <col min="26" max="26" width="4.140625" style="295" bestFit="1" customWidth="1"/>
    <col min="27" max="27" width="3.140625" customWidth="1"/>
    <col min="28" max="28" width="77.28515625" bestFit="1" customWidth="1"/>
    <col min="29" max="29" width="4.140625" style="296" bestFit="1" customWidth="1"/>
    <col min="30" max="30" width="3.140625" customWidth="1"/>
    <col min="31" max="31" width="87" bestFit="1" customWidth="1"/>
    <col min="32" max="32" width="4.140625" style="295" bestFit="1" customWidth="1"/>
    <col min="33" max="33" width="3.140625" customWidth="1"/>
    <col min="34" max="34" width="54.85546875" bestFit="1" customWidth="1"/>
    <col min="35" max="35" width="4.140625" style="295" bestFit="1" customWidth="1"/>
    <col min="36" max="36" width="3.140625" customWidth="1"/>
    <col min="37" max="37" width="58" customWidth="1"/>
  </cols>
  <sheetData>
    <row r="1" spans="1:37" ht="15" customHeight="1" x14ac:dyDescent="0.25">
      <c r="A1" s="284" t="s">
        <v>94</v>
      </c>
      <c r="B1" s="285" t="s">
        <v>95</v>
      </c>
      <c r="D1" s="286" t="s">
        <v>973</v>
      </c>
      <c r="E1" s="287" t="s">
        <v>678</v>
      </c>
      <c r="F1" s="288"/>
      <c r="G1" s="286" t="s">
        <v>649</v>
      </c>
      <c r="H1" s="289" t="s">
        <v>532</v>
      </c>
      <c r="I1" s="288"/>
      <c r="J1" s="290" t="s">
        <v>596</v>
      </c>
      <c r="K1" s="291" t="s">
        <v>318</v>
      </c>
      <c r="L1" s="291"/>
      <c r="M1" s="286" t="s">
        <v>597</v>
      </c>
      <c r="N1" s="286" t="s">
        <v>318</v>
      </c>
      <c r="O1" s="291"/>
      <c r="P1" s="286" t="s">
        <v>538</v>
      </c>
      <c r="Q1" s="286" t="s">
        <v>318</v>
      </c>
      <c r="R1" s="291"/>
      <c r="S1" s="290" t="s">
        <v>539</v>
      </c>
      <c r="T1" s="292" t="s">
        <v>318</v>
      </c>
      <c r="V1" s="293" t="s">
        <v>727</v>
      </c>
      <c r="W1" s="292" t="s">
        <v>318</v>
      </c>
      <c r="Y1" s="290" t="s">
        <v>652</v>
      </c>
      <c r="Z1" s="291" t="s">
        <v>318</v>
      </c>
      <c r="AA1" s="291"/>
      <c r="AB1" s="286" t="s">
        <v>653</v>
      </c>
      <c r="AC1" s="289" t="s">
        <v>318</v>
      </c>
      <c r="AD1" s="291"/>
      <c r="AE1" s="290" t="s">
        <v>658</v>
      </c>
      <c r="AF1" s="291" t="s">
        <v>318</v>
      </c>
      <c r="AG1" s="291"/>
      <c r="AH1" s="286" t="s">
        <v>659</v>
      </c>
      <c r="AI1" s="286" t="s">
        <v>318</v>
      </c>
      <c r="AK1" s="294" t="s">
        <v>673</v>
      </c>
    </row>
    <row r="2" spans="1:37" x14ac:dyDescent="0.25">
      <c r="A2" s="17" t="s">
        <v>127</v>
      </c>
      <c r="B2" s="17" t="s">
        <v>359</v>
      </c>
      <c r="D2" s="17" t="s">
        <v>322</v>
      </c>
      <c r="E2" s="43">
        <v>602</v>
      </c>
      <c r="G2" s="17" t="s">
        <v>533</v>
      </c>
      <c r="H2" s="47">
        <v>10</v>
      </c>
      <c r="J2" s="17" t="s">
        <v>598</v>
      </c>
      <c r="K2" s="42" t="s">
        <v>543</v>
      </c>
      <c r="L2" s="23"/>
      <c r="M2" s="17" t="s">
        <v>598</v>
      </c>
      <c r="N2" s="42" t="s">
        <v>543</v>
      </c>
      <c r="O2" s="23"/>
      <c r="P2" s="17" t="s">
        <v>540</v>
      </c>
      <c r="Q2" s="42" t="s">
        <v>543</v>
      </c>
      <c r="R2" s="23"/>
      <c r="S2" s="17" t="s">
        <v>317</v>
      </c>
      <c r="T2" s="44" t="s">
        <v>548</v>
      </c>
      <c r="V2" s="17" t="s">
        <v>599</v>
      </c>
      <c r="W2" s="47" t="s">
        <v>543</v>
      </c>
      <c r="Y2" s="17" t="s">
        <v>654</v>
      </c>
      <c r="Z2" s="42" t="s">
        <v>543</v>
      </c>
      <c r="AA2" s="23"/>
      <c r="AB2" s="17" t="s">
        <v>996</v>
      </c>
      <c r="AC2" s="47" t="s">
        <v>550</v>
      </c>
      <c r="AD2" s="23"/>
      <c r="AE2" s="17" t="s">
        <v>12</v>
      </c>
      <c r="AF2" s="42" t="s">
        <v>543</v>
      </c>
      <c r="AG2" s="23"/>
      <c r="AH2" s="17" t="s">
        <v>12</v>
      </c>
      <c r="AI2" s="42" t="s">
        <v>543</v>
      </c>
      <c r="AK2" s="17" t="s">
        <v>51</v>
      </c>
    </row>
    <row r="3" spans="1:37" x14ac:dyDescent="0.25">
      <c r="A3" s="17" t="s">
        <v>128</v>
      </c>
      <c r="B3" s="17" t="s">
        <v>360</v>
      </c>
      <c r="D3" s="17" t="s">
        <v>323</v>
      </c>
      <c r="E3" s="43">
        <v>603</v>
      </c>
      <c r="G3" s="17" t="s">
        <v>650</v>
      </c>
      <c r="H3" s="47">
        <v>11</v>
      </c>
      <c r="J3" s="17" t="s">
        <v>665</v>
      </c>
      <c r="K3" s="42" t="s">
        <v>544</v>
      </c>
      <c r="L3" s="23"/>
      <c r="M3" s="17" t="s">
        <v>665</v>
      </c>
      <c r="N3" s="42" t="s">
        <v>544</v>
      </c>
      <c r="O3" s="23"/>
      <c r="P3" s="17" t="s">
        <v>541</v>
      </c>
      <c r="Q3" s="42" t="s">
        <v>544</v>
      </c>
      <c r="R3" s="23"/>
      <c r="S3" s="17" t="s">
        <v>546</v>
      </c>
      <c r="T3" s="44" t="s">
        <v>549</v>
      </c>
      <c r="V3" s="17" t="s">
        <v>600</v>
      </c>
      <c r="W3" s="47" t="s">
        <v>544</v>
      </c>
      <c r="Y3" s="17" t="s">
        <v>655</v>
      </c>
      <c r="Z3" s="42" t="s">
        <v>544</v>
      </c>
      <c r="AA3" s="23"/>
      <c r="AB3" s="17"/>
      <c r="AC3" s="47"/>
      <c r="AD3" s="23"/>
      <c r="AE3" s="17" t="s">
        <v>78</v>
      </c>
      <c r="AF3" s="42" t="s">
        <v>544</v>
      </c>
      <c r="AG3" s="23"/>
      <c r="AH3" s="17" t="s">
        <v>78</v>
      </c>
      <c r="AI3" s="42" t="s">
        <v>544</v>
      </c>
      <c r="AK3" s="17" t="s">
        <v>52</v>
      </c>
    </row>
    <row r="4" spans="1:37" x14ac:dyDescent="0.25">
      <c r="A4" s="17" t="s">
        <v>129</v>
      </c>
      <c r="B4" s="17" t="s">
        <v>361</v>
      </c>
      <c r="D4" s="17" t="s">
        <v>324</v>
      </c>
      <c r="E4" s="43">
        <v>609</v>
      </c>
      <c r="G4" s="17" t="s">
        <v>651</v>
      </c>
      <c r="H4" s="47">
        <v>12</v>
      </c>
      <c r="J4" s="17" t="s">
        <v>536</v>
      </c>
      <c r="K4" s="42" t="s">
        <v>545</v>
      </c>
      <c r="L4" s="23"/>
      <c r="O4" s="23"/>
      <c r="P4" s="17" t="s">
        <v>542</v>
      </c>
      <c r="Q4" s="42" t="s">
        <v>545</v>
      </c>
      <c r="R4" s="23"/>
      <c r="S4" s="17" t="s">
        <v>547</v>
      </c>
      <c r="T4" s="44" t="s">
        <v>550</v>
      </c>
      <c r="V4" s="17" t="s">
        <v>601</v>
      </c>
      <c r="W4" s="47" t="s">
        <v>545</v>
      </c>
      <c r="Y4" s="17" t="s">
        <v>656</v>
      </c>
      <c r="Z4" s="42" t="s">
        <v>545</v>
      </c>
      <c r="AA4" s="23"/>
      <c r="AD4" s="23"/>
      <c r="AE4" s="17" t="s">
        <v>1077</v>
      </c>
      <c r="AF4" s="42" t="s">
        <v>548</v>
      </c>
      <c r="AG4" s="23"/>
      <c r="AH4" s="17" t="s">
        <v>660</v>
      </c>
      <c r="AI4" s="42" t="s">
        <v>545</v>
      </c>
      <c r="AK4" s="17" t="s">
        <v>53</v>
      </c>
    </row>
    <row r="5" spans="1:37" x14ac:dyDescent="0.25">
      <c r="A5" s="17" t="s">
        <v>130</v>
      </c>
      <c r="B5" s="17" t="s">
        <v>362</v>
      </c>
      <c r="D5" s="17" t="s">
        <v>325</v>
      </c>
      <c r="E5" s="43" t="s">
        <v>1093</v>
      </c>
      <c r="G5" s="17" t="s">
        <v>534</v>
      </c>
      <c r="H5" s="47">
        <v>13</v>
      </c>
      <c r="P5" s="17" t="s">
        <v>551</v>
      </c>
      <c r="Q5" s="42" t="s">
        <v>552</v>
      </c>
      <c r="S5" s="17" t="s">
        <v>553</v>
      </c>
      <c r="T5" s="47" t="s">
        <v>552</v>
      </c>
      <c r="V5" s="17" t="s">
        <v>602</v>
      </c>
      <c r="W5" s="47" t="s">
        <v>548</v>
      </c>
      <c r="Y5" s="17" t="s">
        <v>657</v>
      </c>
      <c r="Z5" s="42" t="s">
        <v>549</v>
      </c>
      <c r="AE5" s="17" t="s">
        <v>661</v>
      </c>
      <c r="AF5" s="42" t="s">
        <v>549</v>
      </c>
      <c r="AH5" s="17" t="s">
        <v>1007</v>
      </c>
      <c r="AI5" s="42" t="s">
        <v>548</v>
      </c>
      <c r="AK5" s="17" t="s">
        <v>54</v>
      </c>
    </row>
    <row r="6" spans="1:37" x14ac:dyDescent="0.25">
      <c r="A6" s="17" t="s">
        <v>131</v>
      </c>
      <c r="B6" s="17" t="s">
        <v>363</v>
      </c>
      <c r="D6" s="17" t="s">
        <v>326</v>
      </c>
      <c r="E6" s="43" t="s">
        <v>1094</v>
      </c>
      <c r="G6" s="17" t="s">
        <v>991</v>
      </c>
      <c r="H6" s="48">
        <v>15</v>
      </c>
      <c r="J6" s="290" t="s">
        <v>590</v>
      </c>
      <c r="K6" s="291" t="s">
        <v>318</v>
      </c>
      <c r="L6" s="291"/>
      <c r="M6" s="286" t="s">
        <v>591</v>
      </c>
      <c r="N6" s="286" t="s">
        <v>318</v>
      </c>
      <c r="P6" s="17" t="s">
        <v>561</v>
      </c>
      <c r="Q6" s="42">
        <v>13</v>
      </c>
      <c r="S6" s="17" t="s">
        <v>554</v>
      </c>
      <c r="T6" s="44" t="s">
        <v>557</v>
      </c>
      <c r="V6" s="17" t="s">
        <v>603</v>
      </c>
      <c r="W6" s="47" t="s">
        <v>549</v>
      </c>
      <c r="Z6" s="291"/>
      <c r="AA6" s="291"/>
      <c r="AB6" s="291"/>
      <c r="AC6" s="292"/>
      <c r="AE6" s="17" t="s">
        <v>662</v>
      </c>
      <c r="AF6" s="42" t="s">
        <v>552</v>
      </c>
      <c r="AG6" s="291"/>
      <c r="AH6" s="17" t="s">
        <v>661</v>
      </c>
      <c r="AI6" s="42" t="s">
        <v>549</v>
      </c>
      <c r="AK6" s="17" t="s">
        <v>55</v>
      </c>
    </row>
    <row r="7" spans="1:37" x14ac:dyDescent="0.25">
      <c r="A7" s="17" t="s">
        <v>132</v>
      </c>
      <c r="B7" s="17" t="s">
        <v>364</v>
      </c>
      <c r="D7" s="17" t="s">
        <v>327</v>
      </c>
      <c r="E7" s="43" t="s">
        <v>1095</v>
      </c>
      <c r="J7" s="17" t="s">
        <v>123</v>
      </c>
      <c r="K7" s="42" t="s">
        <v>543</v>
      </c>
      <c r="L7" s="23"/>
      <c r="M7" s="17" t="s">
        <v>592</v>
      </c>
      <c r="N7" s="42" t="s">
        <v>548</v>
      </c>
      <c r="P7" s="17" t="s">
        <v>562</v>
      </c>
      <c r="Q7" s="42">
        <v>14</v>
      </c>
      <c r="S7" s="17" t="s">
        <v>555</v>
      </c>
      <c r="T7" s="44" t="s">
        <v>558</v>
      </c>
      <c r="V7" s="17" t="s">
        <v>604</v>
      </c>
      <c r="W7" s="47" t="s">
        <v>550</v>
      </c>
      <c r="Y7" s="17"/>
      <c r="Z7" s="42"/>
      <c r="AA7" s="23"/>
      <c r="AB7" s="17"/>
      <c r="AC7" s="47"/>
      <c r="AE7" s="17" t="s">
        <v>664</v>
      </c>
      <c r="AF7" s="42" t="s">
        <v>557</v>
      </c>
      <c r="AG7" s="23"/>
      <c r="AH7" s="17" t="s">
        <v>1008</v>
      </c>
      <c r="AI7" s="42" t="s">
        <v>550</v>
      </c>
      <c r="AK7" s="17" t="s">
        <v>56</v>
      </c>
    </row>
    <row r="8" spans="1:37" x14ac:dyDescent="0.25">
      <c r="A8" s="17" t="s">
        <v>314</v>
      </c>
      <c r="B8" s="17" t="s">
        <v>365</v>
      </c>
      <c r="D8" s="17" t="s">
        <v>328</v>
      </c>
      <c r="E8" s="43" t="s">
        <v>1096</v>
      </c>
      <c r="J8" s="17" t="s">
        <v>122</v>
      </c>
      <c r="K8" s="42" t="s">
        <v>544</v>
      </c>
      <c r="L8" s="23"/>
      <c r="M8" s="152" t="s">
        <v>593</v>
      </c>
      <c r="N8" s="153" t="s">
        <v>549</v>
      </c>
      <c r="P8" s="17" t="s">
        <v>563</v>
      </c>
      <c r="Q8" s="42">
        <v>15</v>
      </c>
      <c r="S8" s="17" t="s">
        <v>559</v>
      </c>
      <c r="T8" s="44" t="s">
        <v>560</v>
      </c>
      <c r="V8" s="17" t="s">
        <v>605</v>
      </c>
      <c r="W8" s="47" t="s">
        <v>552</v>
      </c>
      <c r="Y8" s="249" t="s">
        <v>750</v>
      </c>
      <c r="Z8" s="42"/>
      <c r="AA8" s="23"/>
      <c r="AB8" s="17"/>
      <c r="AC8" s="47"/>
      <c r="AE8" s="17" t="s">
        <v>1082</v>
      </c>
      <c r="AF8" s="42" t="s">
        <v>560</v>
      </c>
      <c r="AG8" s="23"/>
      <c r="AH8" s="17" t="s">
        <v>663</v>
      </c>
      <c r="AI8" s="42" t="s">
        <v>556</v>
      </c>
      <c r="AK8" s="17" t="s">
        <v>57</v>
      </c>
    </row>
    <row r="9" spans="1:37" x14ac:dyDescent="0.25">
      <c r="A9" s="17" t="s">
        <v>366</v>
      </c>
      <c r="B9" s="17" t="s">
        <v>367</v>
      </c>
      <c r="D9" s="17" t="s">
        <v>329</v>
      </c>
      <c r="E9" s="43" t="s">
        <v>1097</v>
      </c>
      <c r="J9" s="17" t="s">
        <v>121</v>
      </c>
      <c r="K9" s="42" t="s">
        <v>545</v>
      </c>
      <c r="L9" s="23"/>
      <c r="M9" s="17"/>
      <c r="N9" s="42"/>
      <c r="P9" s="17" t="s">
        <v>564</v>
      </c>
      <c r="Q9" s="42">
        <v>16</v>
      </c>
      <c r="S9" s="17" t="s">
        <v>974</v>
      </c>
      <c r="T9" s="45">
        <v>12</v>
      </c>
      <c r="V9" s="17" t="s">
        <v>606</v>
      </c>
      <c r="W9" s="47" t="s">
        <v>556</v>
      </c>
      <c r="Y9" s="17"/>
      <c r="Z9" s="42"/>
      <c r="AA9" s="23"/>
      <c r="AB9" s="17"/>
      <c r="AC9" s="47"/>
      <c r="AF9" s="42"/>
      <c r="AG9" s="23"/>
      <c r="AH9" s="17" t="s">
        <v>664</v>
      </c>
      <c r="AI9" s="42" t="s">
        <v>557</v>
      </c>
      <c r="AK9" s="17" t="s">
        <v>58</v>
      </c>
    </row>
    <row r="10" spans="1:37" x14ac:dyDescent="0.25">
      <c r="A10" s="17" t="s">
        <v>133</v>
      </c>
      <c r="B10" s="17" t="s">
        <v>368</v>
      </c>
      <c r="D10" s="17" t="s">
        <v>330</v>
      </c>
      <c r="E10" s="43" t="s">
        <v>1098</v>
      </c>
      <c r="J10" s="17"/>
      <c r="K10" s="42"/>
      <c r="L10" s="23" t="s">
        <v>878</v>
      </c>
      <c r="P10" s="17" t="s">
        <v>565</v>
      </c>
      <c r="Q10" s="42">
        <v>17</v>
      </c>
      <c r="S10" s="17" t="s">
        <v>1053</v>
      </c>
      <c r="T10" s="45">
        <v>23</v>
      </c>
      <c r="V10" s="17" t="s">
        <v>607</v>
      </c>
      <c r="W10" s="47" t="s">
        <v>557</v>
      </c>
      <c r="Y10" s="290" t="s">
        <v>596</v>
      </c>
      <c r="Z10" s="42"/>
      <c r="AA10" s="23"/>
      <c r="AB10" s="293" t="s">
        <v>727</v>
      </c>
      <c r="AE10" s="286" t="s">
        <v>649</v>
      </c>
      <c r="AF10" s="42"/>
      <c r="AG10" s="23"/>
      <c r="AH10" s="17" t="s">
        <v>1002</v>
      </c>
      <c r="AI10" s="42">
        <v>10</v>
      </c>
      <c r="AK10" s="17" t="s">
        <v>59</v>
      </c>
    </row>
    <row r="11" spans="1:37" ht="15" customHeight="1" x14ac:dyDescent="0.25">
      <c r="A11" s="17" t="s">
        <v>134</v>
      </c>
      <c r="B11" s="17" t="s">
        <v>369</v>
      </c>
      <c r="D11" s="17" t="s">
        <v>1099</v>
      </c>
      <c r="E11" s="43" t="s">
        <v>1100</v>
      </c>
      <c r="J11" s="290" t="s">
        <v>1164</v>
      </c>
      <c r="K11" s="291" t="s">
        <v>318</v>
      </c>
      <c r="P11" s="17" t="s">
        <v>566</v>
      </c>
      <c r="Q11" s="42">
        <v>18</v>
      </c>
      <c r="S11" s="17" t="s">
        <v>577</v>
      </c>
      <c r="T11" s="45">
        <v>33</v>
      </c>
      <c r="V11" s="17" t="s">
        <v>608</v>
      </c>
      <c r="W11" s="47" t="s">
        <v>558</v>
      </c>
      <c r="Y11" s="17" t="s">
        <v>744</v>
      </c>
      <c r="AB11" s="17" t="s">
        <v>764</v>
      </c>
      <c r="AE11" s="17" t="s">
        <v>839</v>
      </c>
      <c r="AH11" s="17" t="s">
        <v>1003</v>
      </c>
      <c r="AI11" s="42">
        <v>12</v>
      </c>
      <c r="AK11" s="17" t="s">
        <v>60</v>
      </c>
    </row>
    <row r="12" spans="1:37" ht="15" customHeight="1" x14ac:dyDescent="0.25">
      <c r="A12" s="17" t="s">
        <v>135</v>
      </c>
      <c r="B12" s="17" t="s">
        <v>370</v>
      </c>
      <c r="D12" s="17" t="s">
        <v>331</v>
      </c>
      <c r="E12" s="43" t="s">
        <v>1101</v>
      </c>
      <c r="J12" s="304" t="s">
        <v>1165</v>
      </c>
      <c r="K12" s="42" t="s">
        <v>545</v>
      </c>
      <c r="L12" s="291"/>
      <c r="M12" s="286" t="s">
        <v>594</v>
      </c>
      <c r="N12" s="286" t="s">
        <v>318</v>
      </c>
      <c r="P12" s="17" t="s">
        <v>567</v>
      </c>
      <c r="Q12" s="42">
        <v>19</v>
      </c>
      <c r="S12" s="17" t="s">
        <v>578</v>
      </c>
      <c r="T12" s="45">
        <v>34</v>
      </c>
      <c r="V12" s="17" t="s">
        <v>609</v>
      </c>
      <c r="W12" s="47" t="s">
        <v>560</v>
      </c>
      <c r="Y12" s="17" t="s">
        <v>745</v>
      </c>
      <c r="Z12" s="291"/>
      <c r="AA12" s="291"/>
      <c r="AB12" s="17" t="s">
        <v>765</v>
      </c>
      <c r="AC12" s="292"/>
      <c r="AE12" s="17" t="s">
        <v>840</v>
      </c>
      <c r="AF12" s="291"/>
      <c r="AG12" s="291"/>
      <c r="AH12" s="17" t="s">
        <v>1004</v>
      </c>
      <c r="AI12" s="42">
        <v>13</v>
      </c>
    </row>
    <row r="13" spans="1:37" x14ac:dyDescent="0.25">
      <c r="A13" s="17" t="s">
        <v>136</v>
      </c>
      <c r="B13" s="17" t="s">
        <v>356</v>
      </c>
      <c r="D13" s="17" t="s">
        <v>1102</v>
      </c>
      <c r="E13" s="43" t="s">
        <v>1103</v>
      </c>
      <c r="G13" s="286" t="s">
        <v>968</v>
      </c>
      <c r="H13" s="289" t="s">
        <v>532</v>
      </c>
      <c r="M13" s="17" t="s">
        <v>80</v>
      </c>
      <c r="N13" s="42" t="s">
        <v>543</v>
      </c>
      <c r="P13" s="17" t="s">
        <v>733</v>
      </c>
      <c r="Q13" s="42">
        <v>20</v>
      </c>
      <c r="S13" s="17" t="s">
        <v>583</v>
      </c>
      <c r="T13" s="45">
        <v>40</v>
      </c>
      <c r="V13" s="17" t="s">
        <v>610</v>
      </c>
      <c r="W13" s="47" t="s">
        <v>629</v>
      </c>
      <c r="Y13" s="17" t="s">
        <v>746</v>
      </c>
      <c r="AB13" s="17" t="s">
        <v>766</v>
      </c>
      <c r="AC13" s="47"/>
      <c r="AE13" s="17" t="s">
        <v>841</v>
      </c>
      <c r="AH13" s="17" t="s">
        <v>1005</v>
      </c>
      <c r="AI13" s="42">
        <v>14</v>
      </c>
    </row>
    <row r="14" spans="1:37" x14ac:dyDescent="0.25">
      <c r="A14" s="17" t="s">
        <v>137</v>
      </c>
      <c r="B14" s="17" t="s">
        <v>371</v>
      </c>
      <c r="D14" s="17" t="s">
        <v>332</v>
      </c>
      <c r="E14" s="43" t="s">
        <v>1104</v>
      </c>
      <c r="G14" s="17" t="s">
        <v>1038</v>
      </c>
      <c r="H14" s="42" t="s">
        <v>543</v>
      </c>
      <c r="M14" s="17" t="s">
        <v>595</v>
      </c>
      <c r="N14" s="42" t="s">
        <v>544</v>
      </c>
      <c r="P14" s="17" t="s">
        <v>568</v>
      </c>
      <c r="Q14" s="42">
        <v>21</v>
      </c>
      <c r="S14" s="17" t="s">
        <v>589</v>
      </c>
      <c r="T14" s="45">
        <v>45</v>
      </c>
      <c r="V14" s="17" t="s">
        <v>679</v>
      </c>
      <c r="W14" s="47" t="s">
        <v>630</v>
      </c>
      <c r="AB14" s="17" t="s">
        <v>767</v>
      </c>
      <c r="AC14" s="47"/>
      <c r="AE14" s="17" t="s">
        <v>842</v>
      </c>
      <c r="AH14" s="17" t="s">
        <v>1006</v>
      </c>
      <c r="AI14" s="42" t="s">
        <v>632</v>
      </c>
    </row>
    <row r="15" spans="1:37" x14ac:dyDescent="0.25">
      <c r="A15" s="17" t="s">
        <v>138</v>
      </c>
      <c r="B15" s="17" t="s">
        <v>372</v>
      </c>
      <c r="D15" s="17" t="s">
        <v>333</v>
      </c>
      <c r="E15" s="43" t="s">
        <v>1105</v>
      </c>
      <c r="G15" s="17" t="s">
        <v>1039</v>
      </c>
      <c r="H15" s="42" t="s">
        <v>544</v>
      </c>
      <c r="J15" s="304" t="s">
        <v>1167</v>
      </c>
      <c r="K15" s="291" t="s">
        <v>318</v>
      </c>
      <c r="M15" s="17"/>
      <c r="N15" s="42"/>
      <c r="P15" s="17" t="s">
        <v>569</v>
      </c>
      <c r="Q15" s="42">
        <v>22</v>
      </c>
      <c r="S15" s="17" t="s">
        <v>1054</v>
      </c>
      <c r="T15" s="45">
        <v>48</v>
      </c>
      <c r="V15" s="17" t="s">
        <v>614</v>
      </c>
      <c r="W15" s="47" t="s">
        <v>631</v>
      </c>
      <c r="Y15" s="290" t="s">
        <v>590</v>
      </c>
      <c r="AB15" s="17" t="s">
        <v>768</v>
      </c>
      <c r="AC15" s="47"/>
      <c r="AE15" s="17" t="s">
        <v>997</v>
      </c>
      <c r="AI15" s="42"/>
    </row>
    <row r="16" spans="1:37" x14ac:dyDescent="0.25">
      <c r="A16" s="17" t="s">
        <v>139</v>
      </c>
      <c r="B16" s="17" t="s">
        <v>373</v>
      </c>
      <c r="D16" s="17" t="s">
        <v>334</v>
      </c>
      <c r="E16" s="43" t="s">
        <v>1106</v>
      </c>
      <c r="G16" s="17" t="s">
        <v>980</v>
      </c>
      <c r="H16" s="42" t="s">
        <v>545</v>
      </c>
      <c r="J16" s="17" t="s">
        <v>1168</v>
      </c>
      <c r="K16" s="42" t="s">
        <v>543</v>
      </c>
      <c r="P16" s="17" t="s">
        <v>570</v>
      </c>
      <c r="Q16" s="42">
        <v>24</v>
      </c>
      <c r="S16" s="17" t="s">
        <v>1055</v>
      </c>
      <c r="T16" s="45">
        <v>51</v>
      </c>
      <c r="V16" s="17" t="s">
        <v>615</v>
      </c>
      <c r="W16" s="47" t="s">
        <v>632</v>
      </c>
      <c r="Y16" s="17" t="s">
        <v>747</v>
      </c>
      <c r="AB16" s="17" t="s">
        <v>769</v>
      </c>
      <c r="AH16" s="297" t="s">
        <v>726</v>
      </c>
    </row>
    <row r="17" spans="1:38" x14ac:dyDescent="0.25">
      <c r="A17" s="17" t="s">
        <v>140</v>
      </c>
      <c r="B17" s="17" t="s">
        <v>374</v>
      </c>
      <c r="D17" s="17" t="s">
        <v>335</v>
      </c>
      <c r="E17" s="43" t="s">
        <v>1107</v>
      </c>
      <c r="G17" s="17" t="s">
        <v>981</v>
      </c>
      <c r="H17" s="42" t="s">
        <v>548</v>
      </c>
      <c r="J17" s="17" t="s">
        <v>1169</v>
      </c>
      <c r="K17" s="42" t="s">
        <v>544</v>
      </c>
      <c r="P17" s="17" t="s">
        <v>571</v>
      </c>
      <c r="Q17" s="42">
        <v>25</v>
      </c>
      <c r="S17" s="17"/>
      <c r="T17" s="45"/>
      <c r="V17" s="17" t="s">
        <v>616</v>
      </c>
      <c r="W17" s="47" t="s">
        <v>633</v>
      </c>
      <c r="Y17" s="17" t="s">
        <v>748</v>
      </c>
      <c r="AB17" s="17" t="s">
        <v>770</v>
      </c>
      <c r="AE17" s="286" t="s">
        <v>594</v>
      </c>
      <c r="AH17" s="17" t="s">
        <v>1029</v>
      </c>
      <c r="AL17" s="47"/>
    </row>
    <row r="18" spans="1:38" x14ac:dyDescent="0.25">
      <c r="A18" s="17" t="s">
        <v>141</v>
      </c>
      <c r="B18" s="17" t="s">
        <v>375</v>
      </c>
      <c r="D18" s="17" t="s">
        <v>336</v>
      </c>
      <c r="E18" s="43" t="s">
        <v>1108</v>
      </c>
      <c r="G18" s="17" t="s">
        <v>982</v>
      </c>
      <c r="H18" s="42" t="s">
        <v>549</v>
      </c>
      <c r="J18" s="17" t="s">
        <v>1170</v>
      </c>
      <c r="K18" s="42" t="s">
        <v>545</v>
      </c>
      <c r="P18" s="17" t="s">
        <v>572</v>
      </c>
      <c r="Q18" s="42">
        <v>27</v>
      </c>
      <c r="V18" s="17" t="s">
        <v>617</v>
      </c>
      <c r="W18" s="47" t="s">
        <v>634</v>
      </c>
      <c r="Y18" s="17" t="s">
        <v>749</v>
      </c>
      <c r="AB18" s="17" t="s">
        <v>771</v>
      </c>
      <c r="AE18" s="17" t="s">
        <v>844</v>
      </c>
      <c r="AH18" s="17" t="s">
        <v>1030</v>
      </c>
      <c r="AL18" s="47"/>
    </row>
    <row r="19" spans="1:38" x14ac:dyDescent="0.25">
      <c r="A19" s="17" t="s">
        <v>142</v>
      </c>
      <c r="B19" s="17" t="s">
        <v>376</v>
      </c>
      <c r="D19" s="17" t="s">
        <v>337</v>
      </c>
      <c r="E19" s="43" t="s">
        <v>1109</v>
      </c>
      <c r="G19" s="17" t="s">
        <v>1045</v>
      </c>
      <c r="H19" s="42" t="s">
        <v>550</v>
      </c>
      <c r="J19" s="17" t="s">
        <v>1171</v>
      </c>
      <c r="K19" s="42" t="s">
        <v>548</v>
      </c>
      <c r="P19" s="17" t="s">
        <v>573</v>
      </c>
      <c r="Q19" s="42">
        <v>28</v>
      </c>
      <c r="V19" s="17" t="s">
        <v>618</v>
      </c>
      <c r="W19" s="47" t="s">
        <v>635</v>
      </c>
      <c r="Y19" s="17"/>
      <c r="AB19" s="17" t="s">
        <v>772</v>
      </c>
      <c r="AE19" s="17" t="s">
        <v>845</v>
      </c>
      <c r="AH19" s="17" t="s">
        <v>1031</v>
      </c>
      <c r="AL19" s="47"/>
    </row>
    <row r="20" spans="1:38" x14ac:dyDescent="0.25">
      <c r="A20" s="17" t="s">
        <v>143</v>
      </c>
      <c r="B20" s="17" t="s">
        <v>377</v>
      </c>
      <c r="D20" s="17" t="s">
        <v>338</v>
      </c>
      <c r="E20" s="43" t="s">
        <v>1110</v>
      </c>
      <c r="G20" s="17" t="s">
        <v>1046</v>
      </c>
      <c r="H20" s="42" t="s">
        <v>552</v>
      </c>
      <c r="P20" s="17" t="s">
        <v>574</v>
      </c>
      <c r="Q20" s="42">
        <v>29</v>
      </c>
      <c r="V20" s="17" t="s">
        <v>619</v>
      </c>
      <c r="W20" s="47" t="s">
        <v>636</v>
      </c>
      <c r="Y20" s="290" t="s">
        <v>539</v>
      </c>
      <c r="AB20" s="17" t="s">
        <v>773</v>
      </c>
      <c r="AE20" s="17"/>
      <c r="AH20" s="17" t="s">
        <v>881</v>
      </c>
      <c r="AK20" s="17"/>
      <c r="AL20" s="47"/>
    </row>
    <row r="21" spans="1:38" x14ac:dyDescent="0.25">
      <c r="A21" s="17" t="s">
        <v>144</v>
      </c>
      <c r="B21" s="17" t="s">
        <v>378</v>
      </c>
      <c r="D21" s="17" t="s">
        <v>339</v>
      </c>
      <c r="E21" s="43" t="s">
        <v>1111</v>
      </c>
      <c r="G21" s="17" t="s">
        <v>1047</v>
      </c>
      <c r="H21" s="42" t="s">
        <v>556</v>
      </c>
      <c r="P21" s="17" t="s">
        <v>575</v>
      </c>
      <c r="Q21" s="42">
        <v>30</v>
      </c>
      <c r="S21" s="298"/>
      <c r="T21" s="299"/>
      <c r="V21" s="17" t="s">
        <v>620</v>
      </c>
      <c r="W21" s="47" t="s">
        <v>637</v>
      </c>
      <c r="Y21" s="17" t="s">
        <v>751</v>
      </c>
      <c r="AB21" s="17" t="s">
        <v>774</v>
      </c>
      <c r="AH21" s="17" t="s">
        <v>1032</v>
      </c>
      <c r="AL21" s="47"/>
    </row>
    <row r="22" spans="1:38" x14ac:dyDescent="0.25">
      <c r="A22" s="17" t="s">
        <v>145</v>
      </c>
      <c r="B22" s="17" t="s">
        <v>379</v>
      </c>
      <c r="D22" s="17" t="s">
        <v>340</v>
      </c>
      <c r="E22" s="43" t="s">
        <v>1112</v>
      </c>
      <c r="G22" s="17"/>
      <c r="H22" s="42"/>
      <c r="P22" s="17" t="s">
        <v>576</v>
      </c>
      <c r="Q22" s="42">
        <v>31</v>
      </c>
      <c r="S22" s="30"/>
      <c r="T22" s="46"/>
      <c r="V22" s="17" t="s">
        <v>621</v>
      </c>
      <c r="W22" s="47" t="s">
        <v>638</v>
      </c>
      <c r="Y22" s="17" t="s">
        <v>752</v>
      </c>
      <c r="AB22" s="17" t="s">
        <v>775</v>
      </c>
      <c r="AE22" s="286" t="s">
        <v>538</v>
      </c>
      <c r="AH22" s="17" t="s">
        <v>879</v>
      </c>
      <c r="AK22" s="17"/>
      <c r="AL22" s="47"/>
    </row>
    <row r="23" spans="1:38" x14ac:dyDescent="0.25">
      <c r="A23" s="17" t="s">
        <v>146</v>
      </c>
      <c r="B23" s="17" t="s">
        <v>380</v>
      </c>
      <c r="D23" s="17" t="s">
        <v>1113</v>
      </c>
      <c r="E23" s="43" t="s">
        <v>1114</v>
      </c>
      <c r="G23" s="17"/>
      <c r="H23" s="42"/>
      <c r="P23" s="17" t="s">
        <v>579</v>
      </c>
      <c r="Q23" s="42">
        <v>36</v>
      </c>
      <c r="S23" s="30"/>
      <c r="T23" s="46"/>
      <c r="V23" s="17" t="s">
        <v>622</v>
      </c>
      <c r="W23" s="47" t="s">
        <v>639</v>
      </c>
      <c r="Y23" s="17" t="s">
        <v>753</v>
      </c>
      <c r="AB23" s="17" t="s">
        <v>776</v>
      </c>
      <c r="AE23" s="17" t="s">
        <v>847</v>
      </c>
      <c r="AH23" s="17" t="s">
        <v>880</v>
      </c>
      <c r="AK23" s="17"/>
      <c r="AL23" s="47"/>
    </row>
    <row r="24" spans="1:38" x14ac:dyDescent="0.25">
      <c r="A24" s="17" t="s">
        <v>147</v>
      </c>
      <c r="B24" s="17" t="s">
        <v>381</v>
      </c>
      <c r="D24" s="17" t="s">
        <v>1115</v>
      </c>
      <c r="E24" s="43" t="s">
        <v>1116</v>
      </c>
      <c r="G24" s="17"/>
      <c r="H24" s="42"/>
      <c r="P24" s="17" t="s">
        <v>580</v>
      </c>
      <c r="Q24" s="42">
        <v>37</v>
      </c>
      <c r="V24" s="17" t="s">
        <v>623</v>
      </c>
      <c r="W24" s="47" t="s">
        <v>640</v>
      </c>
      <c r="Y24" s="17" t="s">
        <v>754</v>
      </c>
      <c r="AB24" s="17" t="s">
        <v>777</v>
      </c>
      <c r="AE24" s="17" t="s">
        <v>848</v>
      </c>
      <c r="AH24" s="17" t="s">
        <v>1028</v>
      </c>
      <c r="AK24" s="17"/>
      <c r="AL24" s="47"/>
    </row>
    <row r="25" spans="1:38" x14ac:dyDescent="0.25">
      <c r="A25" s="17" t="s">
        <v>148</v>
      </c>
      <c r="B25" s="17" t="s">
        <v>382</v>
      </c>
      <c r="D25" s="17" t="s">
        <v>341</v>
      </c>
      <c r="E25" s="43" t="s">
        <v>1117</v>
      </c>
      <c r="G25" s="17"/>
      <c r="H25" s="42"/>
      <c r="P25" s="17" t="s">
        <v>581</v>
      </c>
      <c r="Q25" s="42">
        <v>38</v>
      </c>
      <c r="R25" s="291"/>
      <c r="S25" s="291"/>
      <c r="T25" s="292"/>
      <c r="V25" s="17" t="s">
        <v>624</v>
      </c>
      <c r="W25" s="47" t="s">
        <v>641</v>
      </c>
      <c r="Y25" s="17" t="s">
        <v>755</v>
      </c>
      <c r="AB25" s="17" t="s">
        <v>778</v>
      </c>
      <c r="AE25" s="17" t="s">
        <v>849</v>
      </c>
      <c r="AH25" s="17" t="s">
        <v>1033</v>
      </c>
      <c r="AK25" s="17"/>
      <c r="AL25" s="47"/>
    </row>
    <row r="26" spans="1:38" x14ac:dyDescent="0.25">
      <c r="A26" s="17" t="s">
        <v>149</v>
      </c>
      <c r="B26" s="17" t="s">
        <v>383</v>
      </c>
      <c r="D26" s="17" t="s">
        <v>1118</v>
      </c>
      <c r="E26" s="43" t="s">
        <v>1119</v>
      </c>
      <c r="P26" s="17" t="s">
        <v>582</v>
      </c>
      <c r="Q26" s="42">
        <v>39</v>
      </c>
      <c r="V26" s="17" t="s">
        <v>680</v>
      </c>
      <c r="W26" s="47" t="s">
        <v>642</v>
      </c>
      <c r="Y26" s="17" t="s">
        <v>756</v>
      </c>
      <c r="AB26" s="17" t="s">
        <v>779</v>
      </c>
      <c r="AE26" s="17" t="s">
        <v>850</v>
      </c>
      <c r="AH26" s="17" t="s">
        <v>1034</v>
      </c>
      <c r="AK26" s="17"/>
      <c r="AL26" s="47"/>
    </row>
    <row r="27" spans="1:38" x14ac:dyDescent="0.25">
      <c r="A27" s="17" t="s">
        <v>150</v>
      </c>
      <c r="B27" s="17" t="s">
        <v>384</v>
      </c>
      <c r="D27" s="17" t="s">
        <v>342</v>
      </c>
      <c r="E27" s="43" t="s">
        <v>1120</v>
      </c>
      <c r="P27" s="152" t="s">
        <v>584</v>
      </c>
      <c r="Q27" s="184">
        <v>41</v>
      </c>
      <c r="V27" s="17" t="s">
        <v>681</v>
      </c>
      <c r="W27" s="47" t="s">
        <v>643</v>
      </c>
      <c r="Y27" s="17" t="s">
        <v>757</v>
      </c>
      <c r="AB27" s="17" t="s">
        <v>780</v>
      </c>
      <c r="AE27" s="17" t="s">
        <v>852</v>
      </c>
      <c r="AH27" s="17" t="s">
        <v>1035</v>
      </c>
      <c r="AK27" s="17"/>
      <c r="AL27" s="47"/>
    </row>
    <row r="28" spans="1:38" x14ac:dyDescent="0.25">
      <c r="A28" s="17" t="s">
        <v>151</v>
      </c>
      <c r="B28" s="17" t="s">
        <v>385</v>
      </c>
      <c r="D28" s="17" t="s">
        <v>1121</v>
      </c>
      <c r="E28" s="43" t="s">
        <v>1122</v>
      </c>
      <c r="P28" s="17" t="s">
        <v>585</v>
      </c>
      <c r="Q28" s="42">
        <v>42</v>
      </c>
      <c r="V28" s="17" t="s">
        <v>682</v>
      </c>
      <c r="W28" s="47" t="s">
        <v>644</v>
      </c>
      <c r="Y28" s="17" t="s">
        <v>851</v>
      </c>
      <c r="AB28" s="17" t="s">
        <v>781</v>
      </c>
      <c r="AE28" s="17" t="s">
        <v>853</v>
      </c>
      <c r="AH28" s="17" t="s">
        <v>1036</v>
      </c>
      <c r="AK28" s="17"/>
      <c r="AL28" s="47"/>
    </row>
    <row r="29" spans="1:38" x14ac:dyDescent="0.25">
      <c r="A29" s="17" t="s">
        <v>152</v>
      </c>
      <c r="B29" s="17" t="s">
        <v>386</v>
      </c>
      <c r="D29" s="17" t="s">
        <v>343</v>
      </c>
      <c r="E29" s="43" t="s">
        <v>1123</v>
      </c>
      <c r="P29" s="17" t="s">
        <v>586</v>
      </c>
      <c r="Q29" s="42">
        <v>43</v>
      </c>
      <c r="V29" s="17" t="s">
        <v>683</v>
      </c>
      <c r="W29" s="47" t="s">
        <v>645</v>
      </c>
      <c r="Y29" s="17" t="s">
        <v>758</v>
      </c>
      <c r="AB29" s="17" t="s">
        <v>782</v>
      </c>
      <c r="AE29" s="17" t="s">
        <v>854</v>
      </c>
      <c r="AH29" s="17" t="s">
        <v>1037</v>
      </c>
      <c r="AK29" s="17"/>
      <c r="AL29" s="47"/>
    </row>
    <row r="30" spans="1:38" x14ac:dyDescent="0.25">
      <c r="A30" s="17" t="s">
        <v>153</v>
      </c>
      <c r="B30" s="17" t="s">
        <v>124</v>
      </c>
      <c r="D30" s="17" t="s">
        <v>1124</v>
      </c>
      <c r="E30" s="43" t="s">
        <v>1125</v>
      </c>
      <c r="P30" s="17" t="s">
        <v>587</v>
      </c>
      <c r="Q30" s="42">
        <v>44</v>
      </c>
      <c r="V30" s="17" t="s">
        <v>625</v>
      </c>
      <c r="W30" s="47" t="s">
        <v>646</v>
      </c>
      <c r="Y30" s="17" t="s">
        <v>759</v>
      </c>
      <c r="AB30" s="17" t="s">
        <v>783</v>
      </c>
      <c r="AE30" s="17" t="s">
        <v>855</v>
      </c>
    </row>
    <row r="31" spans="1:38" x14ac:dyDescent="0.25">
      <c r="A31" s="17" t="s">
        <v>154</v>
      </c>
      <c r="B31" s="17" t="s">
        <v>387</v>
      </c>
      <c r="D31" s="17" t="s">
        <v>1126</v>
      </c>
      <c r="E31" s="43" t="s">
        <v>1127</v>
      </c>
      <c r="P31" s="17" t="s">
        <v>588</v>
      </c>
      <c r="Q31" s="42">
        <v>46</v>
      </c>
      <c r="V31" s="17" t="s">
        <v>626</v>
      </c>
      <c r="W31" s="47" t="s">
        <v>647</v>
      </c>
      <c r="Y31" s="17" t="s">
        <v>760</v>
      </c>
      <c r="AB31" s="17" t="s">
        <v>784</v>
      </c>
      <c r="AE31" s="17" t="s">
        <v>856</v>
      </c>
    </row>
    <row r="32" spans="1:38" x14ac:dyDescent="0.25">
      <c r="A32" s="17" t="s">
        <v>155</v>
      </c>
      <c r="B32" s="17" t="s">
        <v>388</v>
      </c>
      <c r="D32" s="17" t="s">
        <v>344</v>
      </c>
      <c r="E32" s="43" t="s">
        <v>1128</v>
      </c>
      <c r="P32" s="17" t="s">
        <v>992</v>
      </c>
      <c r="Q32" s="42">
        <v>49</v>
      </c>
      <c r="V32" s="17" t="s">
        <v>627</v>
      </c>
      <c r="W32" s="47" t="s">
        <v>648</v>
      </c>
      <c r="Y32" s="17" t="s">
        <v>761</v>
      </c>
      <c r="AB32" s="17" t="s">
        <v>785</v>
      </c>
      <c r="AE32" s="17" t="s">
        <v>857</v>
      </c>
      <c r="AH32" s="286" t="s">
        <v>659</v>
      </c>
    </row>
    <row r="33" spans="1:34" ht="15" customHeight="1" x14ac:dyDescent="0.25">
      <c r="A33" s="17" t="s">
        <v>156</v>
      </c>
      <c r="B33" s="17" t="s">
        <v>389</v>
      </c>
      <c r="D33" s="17" t="s">
        <v>345</v>
      </c>
      <c r="E33" s="43" t="s">
        <v>1129</v>
      </c>
      <c r="P33" s="17" t="s">
        <v>993</v>
      </c>
      <c r="Q33" s="42">
        <v>50</v>
      </c>
      <c r="V33" s="17" t="s">
        <v>628</v>
      </c>
      <c r="W33" s="47" t="s">
        <v>684</v>
      </c>
      <c r="Y33" s="17" t="s">
        <v>762</v>
      </c>
      <c r="AB33" s="17" t="s">
        <v>786</v>
      </c>
      <c r="AE33" s="17" t="s">
        <v>858</v>
      </c>
      <c r="AH33" s="17" t="s">
        <v>828</v>
      </c>
    </row>
    <row r="34" spans="1:34" x14ac:dyDescent="0.25">
      <c r="A34" s="17" t="s">
        <v>157</v>
      </c>
      <c r="B34" s="17" t="s">
        <v>390</v>
      </c>
      <c r="D34" s="17" t="s">
        <v>1130</v>
      </c>
      <c r="E34" s="43" t="s">
        <v>1131</v>
      </c>
      <c r="P34" s="17" t="s">
        <v>994</v>
      </c>
      <c r="Q34" s="42">
        <v>51</v>
      </c>
      <c r="V34" s="17" t="s">
        <v>695</v>
      </c>
      <c r="W34" s="47" t="s">
        <v>685</v>
      </c>
      <c r="Y34" s="17" t="s">
        <v>1078</v>
      </c>
      <c r="AB34" s="17" t="s">
        <v>787</v>
      </c>
      <c r="AE34" s="17" t="s">
        <v>859</v>
      </c>
      <c r="AH34" s="17" t="s">
        <v>830</v>
      </c>
    </row>
    <row r="35" spans="1:34" x14ac:dyDescent="0.25">
      <c r="A35" s="17" t="s">
        <v>158</v>
      </c>
      <c r="B35" s="17" t="s">
        <v>125</v>
      </c>
      <c r="D35" s="17" t="s">
        <v>1132</v>
      </c>
      <c r="E35" s="43" t="s">
        <v>1133</v>
      </c>
      <c r="P35" s="17" t="s">
        <v>995</v>
      </c>
      <c r="Q35" s="42">
        <v>52</v>
      </c>
      <c r="V35" s="17" t="s">
        <v>696</v>
      </c>
      <c r="W35" s="47" t="s">
        <v>686</v>
      </c>
      <c r="Y35" s="17" t="s">
        <v>1079</v>
      </c>
      <c r="AB35" s="17" t="s">
        <v>788</v>
      </c>
      <c r="AE35" s="17" t="s">
        <v>860</v>
      </c>
      <c r="AH35" s="17" t="s">
        <v>836</v>
      </c>
    </row>
    <row r="36" spans="1:34" x14ac:dyDescent="0.25">
      <c r="A36" s="17" t="s">
        <v>159</v>
      </c>
      <c r="B36" s="17" t="s">
        <v>391</v>
      </c>
      <c r="D36" s="17" t="s">
        <v>735</v>
      </c>
      <c r="E36" s="43" t="s">
        <v>1134</v>
      </c>
      <c r="V36" s="17" t="s">
        <v>697</v>
      </c>
      <c r="W36" s="47" t="s">
        <v>687</v>
      </c>
      <c r="Y36" s="17"/>
      <c r="AB36" s="17" t="s">
        <v>789</v>
      </c>
      <c r="AE36" s="17" t="s">
        <v>861</v>
      </c>
      <c r="AH36" s="17" t="s">
        <v>831</v>
      </c>
    </row>
    <row r="37" spans="1:34" x14ac:dyDescent="0.25">
      <c r="A37" s="17" t="s">
        <v>160</v>
      </c>
      <c r="B37" s="17" t="s">
        <v>392</v>
      </c>
      <c r="D37" s="17" t="s">
        <v>346</v>
      </c>
      <c r="E37" s="43" t="s">
        <v>1135</v>
      </c>
      <c r="Q37" s="42"/>
      <c r="V37" s="17" t="s">
        <v>698</v>
      </c>
      <c r="W37" s="47" t="s">
        <v>688</v>
      </c>
      <c r="Y37" s="17"/>
      <c r="AB37" s="17" t="s">
        <v>790</v>
      </c>
      <c r="AE37" s="17" t="s">
        <v>862</v>
      </c>
      <c r="AH37" s="17" t="s">
        <v>832</v>
      </c>
    </row>
    <row r="38" spans="1:34" x14ac:dyDescent="0.25">
      <c r="A38" s="17" t="s">
        <v>161</v>
      </c>
      <c r="B38" s="17" t="s">
        <v>393</v>
      </c>
      <c r="D38" s="17" t="s">
        <v>347</v>
      </c>
      <c r="E38" s="43" t="s">
        <v>1136</v>
      </c>
      <c r="V38" s="17" t="s">
        <v>699</v>
      </c>
      <c r="W38" s="47" t="s">
        <v>689</v>
      </c>
      <c r="AB38" s="17" t="s">
        <v>791</v>
      </c>
      <c r="AE38" s="17" t="s">
        <v>863</v>
      </c>
      <c r="AH38" s="17" t="s">
        <v>834</v>
      </c>
    </row>
    <row r="39" spans="1:34" ht="15" customHeight="1" x14ac:dyDescent="0.25">
      <c r="A39" s="17" t="s">
        <v>162</v>
      </c>
      <c r="B39" s="17" t="s">
        <v>394</v>
      </c>
      <c r="D39" s="17" t="s">
        <v>348</v>
      </c>
      <c r="E39" s="43" t="s">
        <v>1137</v>
      </c>
      <c r="P39" s="30"/>
      <c r="Q39" s="42"/>
      <c r="V39" s="17" t="s">
        <v>611</v>
      </c>
      <c r="W39" s="47" t="s">
        <v>690</v>
      </c>
      <c r="AB39" s="17" t="s">
        <v>792</v>
      </c>
      <c r="AE39" s="17" t="s">
        <v>864</v>
      </c>
      <c r="AH39" s="17" t="s">
        <v>835</v>
      </c>
    </row>
    <row r="40" spans="1:34" ht="15" customHeight="1" x14ac:dyDescent="0.25">
      <c r="A40" s="17" t="s">
        <v>163</v>
      </c>
      <c r="B40" s="17" t="s">
        <v>395</v>
      </c>
      <c r="D40" s="17" t="s">
        <v>349</v>
      </c>
      <c r="E40" s="43" t="s">
        <v>1138</v>
      </c>
      <c r="V40" s="17" t="s">
        <v>700</v>
      </c>
      <c r="W40" s="47" t="s">
        <v>691</v>
      </c>
      <c r="Y40" s="293" t="s">
        <v>818</v>
      </c>
      <c r="AB40" s="17" t="s">
        <v>793</v>
      </c>
      <c r="AE40" s="17" t="s">
        <v>867</v>
      </c>
      <c r="AH40" s="17" t="s">
        <v>1009</v>
      </c>
    </row>
    <row r="41" spans="1:34" x14ac:dyDescent="0.25">
      <c r="A41" s="17" t="s">
        <v>164</v>
      </c>
      <c r="B41" s="17" t="s">
        <v>396</v>
      </c>
      <c r="D41" s="17" t="s">
        <v>1139</v>
      </c>
      <c r="E41" s="43" t="s">
        <v>1140</v>
      </c>
      <c r="V41" s="17" t="s">
        <v>701</v>
      </c>
      <c r="W41" s="47" t="s">
        <v>692</v>
      </c>
      <c r="Y41" s="17" t="s">
        <v>1048</v>
      </c>
      <c r="AB41" s="17" t="s">
        <v>794</v>
      </c>
      <c r="AE41" s="17" t="s">
        <v>865</v>
      </c>
      <c r="AH41" s="17" t="s">
        <v>1010</v>
      </c>
    </row>
    <row r="42" spans="1:34" x14ac:dyDescent="0.25">
      <c r="A42" s="17" t="s">
        <v>165</v>
      </c>
      <c r="B42" s="17" t="s">
        <v>397</v>
      </c>
      <c r="D42" s="17" t="s">
        <v>1141</v>
      </c>
      <c r="E42" s="43" t="s">
        <v>1142</v>
      </c>
      <c r="V42" s="17" t="s">
        <v>612</v>
      </c>
      <c r="W42" s="47" t="s">
        <v>694</v>
      </c>
      <c r="Y42" s="17" t="s">
        <v>1049</v>
      </c>
      <c r="AB42" s="17" t="s">
        <v>795</v>
      </c>
      <c r="AE42" s="17" t="s">
        <v>866</v>
      </c>
      <c r="AH42" s="17" t="s">
        <v>1011</v>
      </c>
    </row>
    <row r="43" spans="1:34" ht="15" customHeight="1" x14ac:dyDescent="0.25">
      <c r="A43" s="17" t="s">
        <v>166</v>
      </c>
      <c r="B43" s="17" t="s">
        <v>398</v>
      </c>
      <c r="D43" s="17" t="s">
        <v>350</v>
      </c>
      <c r="E43" s="43" t="s">
        <v>1143</v>
      </c>
      <c r="V43" s="17" t="s">
        <v>715</v>
      </c>
      <c r="W43" s="47" t="s">
        <v>703</v>
      </c>
      <c r="Y43" s="17" t="s">
        <v>988</v>
      </c>
      <c r="AB43" s="17" t="s">
        <v>796</v>
      </c>
      <c r="AE43" s="17" t="s">
        <v>868</v>
      </c>
      <c r="AH43" s="17" t="s">
        <v>1012</v>
      </c>
    </row>
    <row r="44" spans="1:34" x14ac:dyDescent="0.25">
      <c r="A44" s="17" t="s">
        <v>167</v>
      </c>
      <c r="B44" s="17" t="s">
        <v>399</v>
      </c>
      <c r="D44" s="17" t="s">
        <v>351</v>
      </c>
      <c r="E44" s="43" t="s">
        <v>1144</v>
      </c>
      <c r="V44" s="17" t="s">
        <v>613</v>
      </c>
      <c r="W44" s="47" t="s">
        <v>704</v>
      </c>
      <c r="Y44" s="17" t="s">
        <v>989</v>
      </c>
      <c r="AB44" s="17" t="s">
        <v>797</v>
      </c>
      <c r="AE44" s="17" t="s">
        <v>869</v>
      </c>
      <c r="AH44" s="17" t="s">
        <v>1013</v>
      </c>
    </row>
    <row r="45" spans="1:34" ht="15" customHeight="1" x14ac:dyDescent="0.25">
      <c r="A45" s="17" t="s">
        <v>168</v>
      </c>
      <c r="B45" s="17" t="s">
        <v>400</v>
      </c>
      <c r="D45" s="17" t="s">
        <v>1145</v>
      </c>
      <c r="E45" s="43" t="s">
        <v>1146</v>
      </c>
      <c r="V45" s="17" t="s">
        <v>717</v>
      </c>
      <c r="W45" s="47" t="s">
        <v>705</v>
      </c>
      <c r="Y45" s="17" t="s">
        <v>990</v>
      </c>
      <c r="AB45" s="17" t="s">
        <v>798</v>
      </c>
      <c r="AE45" s="17" t="s">
        <v>870</v>
      </c>
      <c r="AH45" s="17"/>
    </row>
    <row r="46" spans="1:34" ht="15" customHeight="1" x14ac:dyDescent="0.25">
      <c r="A46" s="17" t="s">
        <v>315</v>
      </c>
      <c r="B46" s="17" t="s">
        <v>401</v>
      </c>
      <c r="D46" s="17" t="s">
        <v>1147</v>
      </c>
      <c r="E46" s="43" t="s">
        <v>1148</v>
      </c>
      <c r="V46" s="17" t="s">
        <v>716</v>
      </c>
      <c r="W46" s="47" t="s">
        <v>706</v>
      </c>
      <c r="Y46" s="17" t="s">
        <v>1050</v>
      </c>
      <c r="AB46" s="17" t="s">
        <v>799</v>
      </c>
      <c r="AE46" s="17" t="s">
        <v>871</v>
      </c>
      <c r="AH46" s="17"/>
    </row>
    <row r="47" spans="1:34" x14ac:dyDescent="0.25">
      <c r="A47" s="17" t="s">
        <v>169</v>
      </c>
      <c r="B47" s="17" t="s">
        <v>96</v>
      </c>
      <c r="D47" s="17" t="s">
        <v>352</v>
      </c>
      <c r="E47" s="43" t="s">
        <v>1149</v>
      </c>
      <c r="V47" s="17" t="s">
        <v>718</v>
      </c>
      <c r="W47" s="47" t="s">
        <v>707</v>
      </c>
      <c r="Y47" s="17" t="s">
        <v>1051</v>
      </c>
      <c r="AB47" s="17" t="s">
        <v>800</v>
      </c>
      <c r="AE47" s="17" t="s">
        <v>872</v>
      </c>
      <c r="AH47" s="17"/>
    </row>
    <row r="48" spans="1:34" ht="15" customHeight="1" x14ac:dyDescent="0.25">
      <c r="A48" s="17" t="s">
        <v>170</v>
      </c>
      <c r="B48" s="17" t="s">
        <v>97</v>
      </c>
      <c r="D48" s="17" t="s">
        <v>353</v>
      </c>
      <c r="E48" s="43" t="s">
        <v>1150</v>
      </c>
      <c r="V48" s="17" t="s">
        <v>720</v>
      </c>
      <c r="W48" s="47" t="s">
        <v>708</v>
      </c>
      <c r="Y48" s="17" t="s">
        <v>1052</v>
      </c>
      <c r="AB48" s="17" t="s">
        <v>801</v>
      </c>
      <c r="AE48" s="17" t="s">
        <v>873</v>
      </c>
      <c r="AH48" s="17"/>
    </row>
    <row r="49" spans="1:34" x14ac:dyDescent="0.25">
      <c r="A49" s="17" t="s">
        <v>171</v>
      </c>
      <c r="B49" s="17" t="s">
        <v>402</v>
      </c>
      <c r="D49" s="17" t="s">
        <v>354</v>
      </c>
      <c r="E49" s="43" t="s">
        <v>1151</v>
      </c>
      <c r="V49" s="17" t="s">
        <v>719</v>
      </c>
      <c r="W49" s="47" t="s">
        <v>709</v>
      </c>
      <c r="AB49" s="17" t="s">
        <v>802</v>
      </c>
      <c r="AE49" s="17" t="s">
        <v>874</v>
      </c>
      <c r="AH49" s="17"/>
    </row>
    <row r="50" spans="1:34" ht="15" customHeight="1" x14ac:dyDescent="0.25">
      <c r="A50" s="17" t="s">
        <v>172</v>
      </c>
      <c r="B50" s="17" t="s">
        <v>98</v>
      </c>
      <c r="D50" s="17" t="s">
        <v>529</v>
      </c>
      <c r="E50" s="43" t="s">
        <v>1152</v>
      </c>
      <c r="V50" s="17" t="s">
        <v>722</v>
      </c>
      <c r="W50" s="47" t="s">
        <v>711</v>
      </c>
      <c r="Y50" s="290" t="s">
        <v>652</v>
      </c>
      <c r="AB50" s="17" t="s">
        <v>803</v>
      </c>
      <c r="AE50" s="17" t="s">
        <v>875</v>
      </c>
      <c r="AH50" s="17"/>
    </row>
    <row r="51" spans="1:34" x14ac:dyDescent="0.25">
      <c r="A51" s="17" t="s">
        <v>173</v>
      </c>
      <c r="B51" s="17" t="s">
        <v>99</v>
      </c>
      <c r="D51" s="17" t="s">
        <v>1153</v>
      </c>
      <c r="E51" s="43">
        <v>321</v>
      </c>
      <c r="V51" s="17" t="s">
        <v>724</v>
      </c>
      <c r="W51" s="47" t="s">
        <v>713</v>
      </c>
      <c r="Y51" s="17" t="s">
        <v>820</v>
      </c>
      <c r="AB51" s="17" t="s">
        <v>804</v>
      </c>
      <c r="AE51" s="17" t="s">
        <v>876</v>
      </c>
      <c r="AH51" s="17"/>
    </row>
    <row r="52" spans="1:34" x14ac:dyDescent="0.25">
      <c r="A52" s="17" t="s">
        <v>174</v>
      </c>
      <c r="B52" s="17" t="s">
        <v>403</v>
      </c>
      <c r="D52" s="17" t="s">
        <v>319</v>
      </c>
      <c r="E52" s="43">
        <v>322</v>
      </c>
      <c r="V52" s="17" t="s">
        <v>725</v>
      </c>
      <c r="W52" s="47" t="s">
        <v>714</v>
      </c>
      <c r="Y52" s="17" t="s">
        <v>821</v>
      </c>
      <c r="AB52" s="17" t="s">
        <v>805</v>
      </c>
      <c r="AE52" s="17" t="s">
        <v>877</v>
      </c>
      <c r="AH52" s="17"/>
    </row>
    <row r="53" spans="1:34" x14ac:dyDescent="0.25">
      <c r="A53" s="17" t="s">
        <v>175</v>
      </c>
      <c r="B53" s="17" t="s">
        <v>100</v>
      </c>
      <c r="D53" s="17" t="s">
        <v>1154</v>
      </c>
      <c r="E53" s="43">
        <v>323</v>
      </c>
      <c r="V53" s="17" t="s">
        <v>975</v>
      </c>
      <c r="W53" s="47">
        <v>55</v>
      </c>
      <c r="Y53" s="17" t="s">
        <v>822</v>
      </c>
      <c r="AB53" s="17" t="s">
        <v>806</v>
      </c>
      <c r="AE53" s="17" t="s">
        <v>998</v>
      </c>
      <c r="AH53" s="17"/>
    </row>
    <row r="54" spans="1:34" ht="15" customHeight="1" x14ac:dyDescent="0.25">
      <c r="A54" s="17" t="s">
        <v>176</v>
      </c>
      <c r="B54" s="17" t="s">
        <v>101</v>
      </c>
      <c r="D54" s="17" t="s">
        <v>1155</v>
      </c>
      <c r="E54" s="43">
        <v>324</v>
      </c>
      <c r="V54" s="17" t="s">
        <v>976</v>
      </c>
      <c r="W54" s="47">
        <v>56</v>
      </c>
      <c r="Y54" s="17" t="s">
        <v>823</v>
      </c>
      <c r="AB54" s="17" t="s">
        <v>807</v>
      </c>
      <c r="AE54" s="17" t="s">
        <v>999</v>
      </c>
    </row>
    <row r="55" spans="1:34" ht="15" customHeight="1" x14ac:dyDescent="0.25">
      <c r="A55" s="17" t="s">
        <v>177</v>
      </c>
      <c r="B55" s="17" t="s">
        <v>404</v>
      </c>
      <c r="D55" s="17" t="s">
        <v>1156</v>
      </c>
      <c r="E55" s="43">
        <v>325</v>
      </c>
      <c r="V55" s="17" t="s">
        <v>977</v>
      </c>
      <c r="W55" s="47">
        <v>57</v>
      </c>
      <c r="Y55" s="17"/>
      <c r="AB55" s="17" t="s">
        <v>808</v>
      </c>
      <c r="AE55" s="17" t="s">
        <v>1000</v>
      </c>
    </row>
    <row r="56" spans="1:34" ht="15" customHeight="1" x14ac:dyDescent="0.25">
      <c r="A56" s="17" t="s">
        <v>178</v>
      </c>
      <c r="B56" s="17" t="s">
        <v>405</v>
      </c>
      <c r="D56" s="17" t="s">
        <v>1157</v>
      </c>
      <c r="E56" s="43">
        <v>326</v>
      </c>
      <c r="V56" s="17" t="s">
        <v>978</v>
      </c>
      <c r="W56" s="47">
        <v>61</v>
      </c>
      <c r="AB56" s="17" t="s">
        <v>809</v>
      </c>
      <c r="AE56" s="17" t="s">
        <v>1001</v>
      </c>
    </row>
    <row r="57" spans="1:34" x14ac:dyDescent="0.25">
      <c r="A57" s="17" t="s">
        <v>179</v>
      </c>
      <c r="B57" s="17" t="s">
        <v>406</v>
      </c>
      <c r="D57" s="17" t="s">
        <v>1158</v>
      </c>
      <c r="E57" s="43">
        <v>327</v>
      </c>
      <c r="V57" s="17" t="s">
        <v>979</v>
      </c>
      <c r="W57" s="47">
        <v>62</v>
      </c>
      <c r="Y57" s="290" t="s">
        <v>658</v>
      </c>
      <c r="AB57" s="17" t="s">
        <v>810</v>
      </c>
    </row>
    <row r="58" spans="1:34" ht="15" customHeight="1" x14ac:dyDescent="0.25">
      <c r="A58" s="17" t="s">
        <v>180</v>
      </c>
      <c r="B58" s="17" t="s">
        <v>407</v>
      </c>
      <c r="D58" s="17" t="s">
        <v>320</v>
      </c>
      <c r="E58" s="43">
        <v>328</v>
      </c>
      <c r="V58" s="17" t="s">
        <v>1056</v>
      </c>
      <c r="W58" s="47" t="s">
        <v>1057</v>
      </c>
      <c r="Y58" s="17" t="s">
        <v>828</v>
      </c>
      <c r="AB58" s="17" t="s">
        <v>811</v>
      </c>
    </row>
    <row r="59" spans="1:34" ht="15" customHeight="1" x14ac:dyDescent="0.25">
      <c r="A59" s="17" t="s">
        <v>181</v>
      </c>
      <c r="B59" s="17" t="s">
        <v>408</v>
      </c>
      <c r="D59" s="17" t="s">
        <v>321</v>
      </c>
      <c r="E59" s="43">
        <v>329</v>
      </c>
      <c r="V59" s="17" t="s">
        <v>1058</v>
      </c>
      <c r="W59" s="47" t="s">
        <v>1059</v>
      </c>
      <c r="Y59" s="17" t="s">
        <v>829</v>
      </c>
      <c r="AB59" s="17" t="s">
        <v>812</v>
      </c>
    </row>
    <row r="60" spans="1:34" x14ac:dyDescent="0.25">
      <c r="A60" s="17" t="s">
        <v>182</v>
      </c>
      <c r="B60" s="17" t="s">
        <v>409</v>
      </c>
      <c r="D60" s="17" t="s">
        <v>669</v>
      </c>
      <c r="E60" s="43" t="s">
        <v>1159</v>
      </c>
      <c r="V60" s="17" t="s">
        <v>1060</v>
      </c>
      <c r="W60" s="47" t="s">
        <v>1061</v>
      </c>
      <c r="Y60" s="17" t="s">
        <v>1081</v>
      </c>
      <c r="AB60" s="17" t="s">
        <v>813</v>
      </c>
    </row>
    <row r="61" spans="1:34" x14ac:dyDescent="0.25">
      <c r="A61" s="17" t="s">
        <v>183</v>
      </c>
      <c r="B61" s="17" t="s">
        <v>102</v>
      </c>
      <c r="D61" s="17" t="s">
        <v>1160</v>
      </c>
      <c r="E61" s="43" t="s">
        <v>1161</v>
      </c>
      <c r="V61" s="17" t="s">
        <v>1062</v>
      </c>
      <c r="W61" s="47" t="s">
        <v>1063</v>
      </c>
      <c r="Y61" s="17" t="s">
        <v>831</v>
      </c>
      <c r="AB61" s="17" t="s">
        <v>814</v>
      </c>
    </row>
    <row r="62" spans="1:34" x14ac:dyDescent="0.25">
      <c r="A62" s="17" t="s">
        <v>184</v>
      </c>
      <c r="B62" s="17" t="s">
        <v>355</v>
      </c>
      <c r="D62" s="17" t="s">
        <v>1162</v>
      </c>
      <c r="E62" s="43" t="s">
        <v>1163</v>
      </c>
      <c r="V62" s="17" t="s">
        <v>1064</v>
      </c>
      <c r="W62" s="47" t="s">
        <v>1067</v>
      </c>
      <c r="Y62" s="17" t="s">
        <v>833</v>
      </c>
      <c r="AB62" s="17" t="s">
        <v>983</v>
      </c>
      <c r="AC62" s="47"/>
    </row>
    <row r="63" spans="1:34" x14ac:dyDescent="0.25">
      <c r="A63" s="17" t="s">
        <v>185</v>
      </c>
      <c r="B63" s="17" t="s">
        <v>103</v>
      </c>
      <c r="D63" s="17" t="s">
        <v>676</v>
      </c>
      <c r="E63" s="43">
        <v>501</v>
      </c>
      <c r="V63" s="17" t="s">
        <v>1065</v>
      </c>
      <c r="W63" s="47" t="s">
        <v>1068</v>
      </c>
      <c r="Y63" s="17" t="s">
        <v>835</v>
      </c>
      <c r="AB63" s="17" t="s">
        <v>984</v>
      </c>
      <c r="AC63" s="47"/>
    </row>
    <row r="64" spans="1:34" x14ac:dyDescent="0.25">
      <c r="A64" s="17" t="s">
        <v>186</v>
      </c>
      <c r="B64" s="17" t="s">
        <v>104</v>
      </c>
      <c r="D64" s="17" t="s">
        <v>677</v>
      </c>
      <c r="E64" s="43">
        <v>502</v>
      </c>
      <c r="V64" s="17" t="s">
        <v>1066</v>
      </c>
      <c r="W64" s="47" t="s">
        <v>1069</v>
      </c>
      <c r="Y64" s="17" t="s">
        <v>1080</v>
      </c>
      <c r="AB64" s="17" t="s">
        <v>985</v>
      </c>
      <c r="AC64" s="47"/>
    </row>
    <row r="65" spans="1:29" x14ac:dyDescent="0.25">
      <c r="A65" s="17" t="s">
        <v>187</v>
      </c>
      <c r="B65" s="17" t="s">
        <v>410</v>
      </c>
      <c r="D65" s="17"/>
      <c r="E65" s="17"/>
      <c r="Y65" s="17"/>
      <c r="AB65" s="17" t="s">
        <v>986</v>
      </c>
      <c r="AC65" s="47"/>
    </row>
    <row r="66" spans="1:29" ht="15" customHeight="1" x14ac:dyDescent="0.25">
      <c r="A66" s="17" t="s">
        <v>188</v>
      </c>
      <c r="B66" s="17" t="s">
        <v>411</v>
      </c>
      <c r="D66" s="17"/>
      <c r="E66" s="17"/>
      <c r="Y66" s="286" t="s">
        <v>597</v>
      </c>
      <c r="AB66" s="17" t="s">
        <v>987</v>
      </c>
      <c r="AC66" s="47"/>
    </row>
    <row r="67" spans="1:29" x14ac:dyDescent="0.25">
      <c r="A67" s="17" t="s">
        <v>189</v>
      </c>
      <c r="B67" s="17" t="s">
        <v>412</v>
      </c>
      <c r="V67" s="300" t="s">
        <v>726</v>
      </c>
      <c r="W67" s="292" t="s">
        <v>318</v>
      </c>
      <c r="Y67" s="17" t="s">
        <v>744</v>
      </c>
      <c r="AB67" s="17" t="s">
        <v>1070</v>
      </c>
    </row>
    <row r="68" spans="1:29" x14ac:dyDescent="0.25">
      <c r="A68" s="17" t="s">
        <v>190</v>
      </c>
      <c r="B68" s="17" t="s">
        <v>413</v>
      </c>
      <c r="V68" s="17" t="s">
        <v>1014</v>
      </c>
      <c r="W68" s="47">
        <v>15</v>
      </c>
      <c r="Y68" s="17" t="s">
        <v>745</v>
      </c>
      <c r="Z68" s="291"/>
      <c r="AB68" s="17" t="s">
        <v>1071</v>
      </c>
    </row>
    <row r="69" spans="1:29" x14ac:dyDescent="0.25">
      <c r="A69" s="17" t="s">
        <v>191</v>
      </c>
      <c r="B69" s="17" t="s">
        <v>414</v>
      </c>
      <c r="V69" s="17" t="s">
        <v>700</v>
      </c>
      <c r="W69" s="47" t="s">
        <v>691</v>
      </c>
      <c r="Z69" s="42"/>
      <c r="AB69" s="17" t="s">
        <v>1072</v>
      </c>
    </row>
    <row r="70" spans="1:29" x14ac:dyDescent="0.25">
      <c r="A70" s="17" t="s">
        <v>192</v>
      </c>
      <c r="B70" s="17" t="s">
        <v>415</v>
      </c>
      <c r="V70" s="17" t="s">
        <v>701</v>
      </c>
      <c r="W70" s="47" t="s">
        <v>692</v>
      </c>
      <c r="Z70" s="42"/>
      <c r="AB70" s="17" t="s">
        <v>1073</v>
      </c>
    </row>
    <row r="71" spans="1:29" x14ac:dyDescent="0.25">
      <c r="A71" s="17" t="s">
        <v>193</v>
      </c>
      <c r="B71" s="17" t="s">
        <v>416</v>
      </c>
      <c r="V71" s="17" t="s">
        <v>702</v>
      </c>
      <c r="W71" s="47" t="s">
        <v>693</v>
      </c>
      <c r="Y71" s="286" t="s">
        <v>591</v>
      </c>
      <c r="AB71" s="17" t="s">
        <v>1074</v>
      </c>
    </row>
    <row r="72" spans="1:29" x14ac:dyDescent="0.25">
      <c r="A72" s="17" t="s">
        <v>194</v>
      </c>
      <c r="B72" s="17" t="s">
        <v>126</v>
      </c>
      <c r="V72" s="17" t="s">
        <v>1015</v>
      </c>
      <c r="W72" s="47" t="s">
        <v>703</v>
      </c>
      <c r="Y72" s="17" t="s">
        <v>843</v>
      </c>
      <c r="AB72" s="17" t="s">
        <v>1075</v>
      </c>
    </row>
    <row r="73" spans="1:29" x14ac:dyDescent="0.25">
      <c r="A73" s="17" t="s">
        <v>195</v>
      </c>
      <c r="B73" s="17" t="s">
        <v>417</v>
      </c>
      <c r="V73" s="17" t="s">
        <v>721</v>
      </c>
      <c r="W73" s="47" t="s">
        <v>710</v>
      </c>
      <c r="Y73" s="152" t="s">
        <v>882</v>
      </c>
      <c r="Z73" s="291"/>
      <c r="AB73" s="17" t="s">
        <v>1076</v>
      </c>
    </row>
    <row r="74" spans="1:29" x14ac:dyDescent="0.25">
      <c r="A74" s="17" t="s">
        <v>196</v>
      </c>
      <c r="B74" s="17" t="s">
        <v>418</v>
      </c>
      <c r="V74" s="17" t="s">
        <v>723</v>
      </c>
      <c r="W74" s="47" t="s">
        <v>712</v>
      </c>
      <c r="Z74" s="42"/>
    </row>
    <row r="75" spans="1:29" x14ac:dyDescent="0.25">
      <c r="A75" s="17" t="s">
        <v>197</v>
      </c>
      <c r="B75" s="17" t="s">
        <v>105</v>
      </c>
      <c r="V75" s="17" t="s">
        <v>1016</v>
      </c>
      <c r="W75" s="47" t="s">
        <v>1022</v>
      </c>
      <c r="Z75" s="153"/>
    </row>
    <row r="76" spans="1:29" x14ac:dyDescent="0.25">
      <c r="A76" s="17" t="s">
        <v>198</v>
      </c>
      <c r="B76" s="17" t="s">
        <v>419</v>
      </c>
      <c r="D76" s="30"/>
      <c r="V76" s="17" t="s">
        <v>1017</v>
      </c>
      <c r="W76" s="47" t="s">
        <v>1023</v>
      </c>
      <c r="Y76" s="17"/>
    </row>
    <row r="77" spans="1:29" x14ac:dyDescent="0.25">
      <c r="A77" s="17" t="s">
        <v>199</v>
      </c>
      <c r="B77" s="17" t="s">
        <v>420</v>
      </c>
      <c r="D77" s="30"/>
      <c r="V77" s="17" t="s">
        <v>1018</v>
      </c>
      <c r="W77" s="47" t="s">
        <v>1024</v>
      </c>
      <c r="Y77" s="17"/>
    </row>
    <row r="78" spans="1:29" x14ac:dyDescent="0.25">
      <c r="A78" s="17" t="s">
        <v>200</v>
      </c>
      <c r="B78" s="17" t="s">
        <v>421</v>
      </c>
      <c r="D78" s="30"/>
      <c r="V78" s="17" t="s">
        <v>1019</v>
      </c>
      <c r="W78" s="47" t="s">
        <v>1025</v>
      </c>
      <c r="Y78" s="17"/>
      <c r="AC78" s="47"/>
    </row>
    <row r="79" spans="1:29" x14ac:dyDescent="0.25">
      <c r="A79" s="17" t="s">
        <v>201</v>
      </c>
      <c r="B79" s="17" t="s">
        <v>422</v>
      </c>
      <c r="D79" s="30"/>
      <c r="V79" s="17" t="s">
        <v>1021</v>
      </c>
      <c r="W79" s="47" t="s">
        <v>1026</v>
      </c>
      <c r="Y79" s="17"/>
      <c r="AC79" s="47"/>
    </row>
    <row r="80" spans="1:29" x14ac:dyDescent="0.25">
      <c r="A80" s="17" t="s">
        <v>202</v>
      </c>
      <c r="B80" s="17" t="s">
        <v>423</v>
      </c>
      <c r="V80" s="17" t="s">
        <v>1020</v>
      </c>
      <c r="W80" s="47" t="s">
        <v>1027</v>
      </c>
      <c r="Y80" s="17"/>
      <c r="AC80" s="47"/>
    </row>
    <row r="81" spans="1:29" x14ac:dyDescent="0.25">
      <c r="A81" s="17" t="s">
        <v>203</v>
      </c>
      <c r="B81" s="17" t="s">
        <v>424</v>
      </c>
      <c r="Y81" s="17"/>
      <c r="AC81" s="47"/>
    </row>
    <row r="82" spans="1:29" x14ac:dyDescent="0.25">
      <c r="A82" s="17" t="s">
        <v>204</v>
      </c>
      <c r="B82" s="17" t="s">
        <v>106</v>
      </c>
      <c r="Y82" s="17"/>
      <c r="AC82" s="47"/>
    </row>
    <row r="83" spans="1:29" x14ac:dyDescent="0.25">
      <c r="A83" s="17" t="s">
        <v>205</v>
      </c>
      <c r="B83" s="17" t="s">
        <v>425</v>
      </c>
      <c r="Y83" s="17"/>
      <c r="AC83" s="47"/>
    </row>
    <row r="84" spans="1:29" x14ac:dyDescent="0.25">
      <c r="A84" s="17" t="s">
        <v>206</v>
      </c>
      <c r="B84" s="17" t="s">
        <v>426</v>
      </c>
      <c r="AC84" s="47"/>
    </row>
    <row r="85" spans="1:29" x14ac:dyDescent="0.25">
      <c r="A85" s="17" t="s">
        <v>207</v>
      </c>
      <c r="B85" s="17" t="s">
        <v>427</v>
      </c>
    </row>
    <row r="86" spans="1:29" x14ac:dyDescent="0.25">
      <c r="A86" s="17" t="s">
        <v>208</v>
      </c>
      <c r="B86" s="17" t="s">
        <v>428</v>
      </c>
    </row>
    <row r="87" spans="1:29" x14ac:dyDescent="0.25">
      <c r="A87" s="17" t="s">
        <v>209</v>
      </c>
      <c r="B87" s="17" t="s">
        <v>429</v>
      </c>
    </row>
    <row r="88" spans="1:29" x14ac:dyDescent="0.25">
      <c r="A88" s="17" t="s">
        <v>210</v>
      </c>
      <c r="B88" s="17" t="s">
        <v>430</v>
      </c>
    </row>
    <row r="89" spans="1:29" x14ac:dyDescent="0.25">
      <c r="A89" s="17" t="s">
        <v>211</v>
      </c>
      <c r="B89" s="17" t="s">
        <v>431</v>
      </c>
    </row>
    <row r="90" spans="1:29" x14ac:dyDescent="0.25">
      <c r="A90" s="17" t="s">
        <v>212</v>
      </c>
      <c r="B90" s="17" t="s">
        <v>432</v>
      </c>
    </row>
    <row r="91" spans="1:29" x14ac:dyDescent="0.25">
      <c r="A91" s="17" t="s">
        <v>213</v>
      </c>
      <c r="B91" s="17" t="s">
        <v>433</v>
      </c>
    </row>
    <row r="92" spans="1:29" x14ac:dyDescent="0.25">
      <c r="A92" s="17" t="s">
        <v>214</v>
      </c>
      <c r="B92" s="17" t="s">
        <v>434</v>
      </c>
    </row>
    <row r="93" spans="1:29" x14ac:dyDescent="0.25">
      <c r="A93" s="17" t="s">
        <v>215</v>
      </c>
      <c r="B93" s="17" t="s">
        <v>435</v>
      </c>
    </row>
    <row r="94" spans="1:29" x14ac:dyDescent="0.25">
      <c r="A94" s="17" t="s">
        <v>216</v>
      </c>
      <c r="B94" s="17" t="s">
        <v>436</v>
      </c>
    </row>
    <row r="95" spans="1:29" x14ac:dyDescent="0.25">
      <c r="A95" s="17" t="s">
        <v>217</v>
      </c>
      <c r="B95" s="17" t="s">
        <v>437</v>
      </c>
    </row>
    <row r="96" spans="1:29" x14ac:dyDescent="0.25">
      <c r="A96" s="17" t="s">
        <v>218</v>
      </c>
      <c r="B96" s="17" t="s">
        <v>438</v>
      </c>
    </row>
    <row r="97" spans="1:2" x14ac:dyDescent="0.25">
      <c r="A97" s="17" t="s">
        <v>219</v>
      </c>
      <c r="B97" s="17" t="s">
        <v>439</v>
      </c>
    </row>
    <row r="98" spans="1:2" x14ac:dyDescent="0.25">
      <c r="A98" s="17" t="s">
        <v>220</v>
      </c>
      <c r="B98" s="17" t="s">
        <v>440</v>
      </c>
    </row>
    <row r="99" spans="1:2" x14ac:dyDescent="0.25">
      <c r="A99" s="17" t="s">
        <v>221</v>
      </c>
      <c r="B99" s="17" t="s">
        <v>441</v>
      </c>
    </row>
    <row r="100" spans="1:2" x14ac:dyDescent="0.25">
      <c r="A100" s="23">
        <v>231700</v>
      </c>
      <c r="B100" s="17" t="s">
        <v>675</v>
      </c>
    </row>
    <row r="101" spans="1:2" x14ac:dyDescent="0.25">
      <c r="A101" s="17" t="s">
        <v>222</v>
      </c>
      <c r="B101" s="17" t="s">
        <v>442</v>
      </c>
    </row>
    <row r="102" spans="1:2" x14ac:dyDescent="0.25">
      <c r="A102" s="17" t="s">
        <v>310</v>
      </c>
      <c r="B102" s="17" t="s">
        <v>443</v>
      </c>
    </row>
    <row r="103" spans="1:2" x14ac:dyDescent="0.25">
      <c r="A103" s="17" t="s">
        <v>223</v>
      </c>
      <c r="B103" s="17" t="s">
        <v>444</v>
      </c>
    </row>
    <row r="104" spans="1:2" x14ac:dyDescent="0.25">
      <c r="A104" s="17" t="s">
        <v>224</v>
      </c>
      <c r="B104" s="17" t="s">
        <v>445</v>
      </c>
    </row>
    <row r="105" spans="1:2" x14ac:dyDescent="0.25">
      <c r="A105" s="17" t="s">
        <v>225</v>
      </c>
      <c r="B105" s="17" t="s">
        <v>107</v>
      </c>
    </row>
    <row r="106" spans="1:2" x14ac:dyDescent="0.25">
      <c r="A106" s="17" t="s">
        <v>311</v>
      </c>
      <c r="B106" s="17" t="s">
        <v>446</v>
      </c>
    </row>
    <row r="107" spans="1:2" x14ac:dyDescent="0.25">
      <c r="A107" s="17" t="s">
        <v>312</v>
      </c>
      <c r="B107" s="17" t="s">
        <v>447</v>
      </c>
    </row>
    <row r="108" spans="1:2" x14ac:dyDescent="0.25">
      <c r="A108" s="17" t="s">
        <v>313</v>
      </c>
      <c r="B108" s="17" t="s">
        <v>448</v>
      </c>
    </row>
    <row r="109" spans="1:2" x14ac:dyDescent="0.25">
      <c r="A109" s="17" t="s">
        <v>316</v>
      </c>
      <c r="B109" s="17" t="s">
        <v>449</v>
      </c>
    </row>
    <row r="110" spans="1:2" x14ac:dyDescent="0.25">
      <c r="A110" s="17" t="s">
        <v>226</v>
      </c>
      <c r="B110" s="17" t="s">
        <v>450</v>
      </c>
    </row>
    <row r="111" spans="1:2" x14ac:dyDescent="0.25">
      <c r="A111" s="17" t="s">
        <v>227</v>
      </c>
      <c r="B111" s="17" t="s">
        <v>451</v>
      </c>
    </row>
    <row r="112" spans="1:2" x14ac:dyDescent="0.25">
      <c r="A112" s="17" t="s">
        <v>228</v>
      </c>
      <c r="B112" s="17" t="s">
        <v>452</v>
      </c>
    </row>
    <row r="113" spans="1:2" x14ac:dyDescent="0.25">
      <c r="A113" s="17" t="s">
        <v>229</v>
      </c>
      <c r="B113" s="17" t="s">
        <v>453</v>
      </c>
    </row>
    <row r="114" spans="1:2" x14ac:dyDescent="0.25">
      <c r="A114" s="17" t="s">
        <v>230</v>
      </c>
      <c r="B114" s="17" t="s">
        <v>454</v>
      </c>
    </row>
    <row r="115" spans="1:2" x14ac:dyDescent="0.25">
      <c r="A115" s="17" t="s">
        <v>231</v>
      </c>
      <c r="B115" s="17" t="s">
        <v>455</v>
      </c>
    </row>
    <row r="116" spans="1:2" x14ac:dyDescent="0.25">
      <c r="A116" s="17" t="s">
        <v>232</v>
      </c>
      <c r="B116" s="17" t="s">
        <v>456</v>
      </c>
    </row>
    <row r="117" spans="1:2" x14ac:dyDescent="0.25">
      <c r="A117" s="17" t="s">
        <v>233</v>
      </c>
      <c r="B117" s="17" t="s">
        <v>457</v>
      </c>
    </row>
    <row r="118" spans="1:2" x14ac:dyDescent="0.25">
      <c r="A118" s="17" t="s">
        <v>234</v>
      </c>
      <c r="B118" s="17" t="s">
        <v>458</v>
      </c>
    </row>
    <row r="119" spans="1:2" x14ac:dyDescent="0.25">
      <c r="A119" s="17" t="s">
        <v>235</v>
      </c>
      <c r="B119" s="17" t="s">
        <v>459</v>
      </c>
    </row>
    <row r="120" spans="1:2" x14ac:dyDescent="0.25">
      <c r="A120" s="17" t="s">
        <v>236</v>
      </c>
      <c r="B120" s="17" t="s">
        <v>460</v>
      </c>
    </row>
    <row r="121" spans="1:2" x14ac:dyDescent="0.25">
      <c r="A121" s="17" t="s">
        <v>237</v>
      </c>
      <c r="B121" s="17" t="s">
        <v>461</v>
      </c>
    </row>
    <row r="122" spans="1:2" x14ac:dyDescent="0.25">
      <c r="A122" s="17" t="s">
        <v>238</v>
      </c>
      <c r="B122" s="17" t="s">
        <v>462</v>
      </c>
    </row>
    <row r="123" spans="1:2" x14ac:dyDescent="0.25">
      <c r="A123" s="17" t="s">
        <v>239</v>
      </c>
      <c r="B123" s="17" t="s">
        <v>463</v>
      </c>
    </row>
    <row r="124" spans="1:2" x14ac:dyDescent="0.25">
      <c r="A124" s="17" t="s">
        <v>240</v>
      </c>
      <c r="B124" s="17" t="s">
        <v>464</v>
      </c>
    </row>
    <row r="125" spans="1:2" x14ac:dyDescent="0.25">
      <c r="A125" s="17" t="s">
        <v>241</v>
      </c>
      <c r="B125" s="17" t="s">
        <v>465</v>
      </c>
    </row>
    <row r="126" spans="1:2" x14ac:dyDescent="0.25">
      <c r="A126" s="17" t="s">
        <v>242</v>
      </c>
      <c r="B126" s="17" t="s">
        <v>466</v>
      </c>
    </row>
    <row r="127" spans="1:2" x14ac:dyDescent="0.25">
      <c r="A127" s="17" t="s">
        <v>243</v>
      </c>
      <c r="B127" s="17" t="s">
        <v>467</v>
      </c>
    </row>
    <row r="128" spans="1:2" x14ac:dyDescent="0.25">
      <c r="A128" s="17" t="s">
        <v>244</v>
      </c>
      <c r="B128" s="17" t="s">
        <v>468</v>
      </c>
    </row>
    <row r="129" spans="1:2" x14ac:dyDescent="0.25">
      <c r="A129" s="17" t="s">
        <v>245</v>
      </c>
      <c r="B129" s="17" t="s">
        <v>469</v>
      </c>
    </row>
    <row r="130" spans="1:2" x14ac:dyDescent="0.25">
      <c r="A130" s="17" t="s">
        <v>246</v>
      </c>
      <c r="B130" s="17" t="s">
        <v>470</v>
      </c>
    </row>
    <row r="131" spans="1:2" x14ac:dyDescent="0.25">
      <c r="A131" s="17" t="s">
        <v>247</v>
      </c>
      <c r="B131" s="17" t="s">
        <v>471</v>
      </c>
    </row>
    <row r="132" spans="1:2" x14ac:dyDescent="0.25">
      <c r="A132" s="17" t="s">
        <v>248</v>
      </c>
      <c r="B132" s="17" t="s">
        <v>472</v>
      </c>
    </row>
    <row r="133" spans="1:2" x14ac:dyDescent="0.25">
      <c r="A133" s="17" t="s">
        <v>249</v>
      </c>
      <c r="B133" s="17" t="s">
        <v>473</v>
      </c>
    </row>
    <row r="134" spans="1:2" x14ac:dyDescent="0.25">
      <c r="A134" s="17" t="s">
        <v>250</v>
      </c>
      <c r="B134" s="17" t="s">
        <v>474</v>
      </c>
    </row>
    <row r="135" spans="1:2" x14ac:dyDescent="0.25">
      <c r="A135" s="17" t="s">
        <v>251</v>
      </c>
      <c r="B135" s="17" t="s">
        <v>475</v>
      </c>
    </row>
    <row r="136" spans="1:2" x14ac:dyDescent="0.25">
      <c r="A136" s="17" t="s">
        <v>309</v>
      </c>
      <c r="B136" s="17" t="s">
        <v>476</v>
      </c>
    </row>
    <row r="137" spans="1:2" x14ac:dyDescent="0.25">
      <c r="A137" s="17" t="s">
        <v>252</v>
      </c>
      <c r="B137" s="17" t="s">
        <v>477</v>
      </c>
    </row>
    <row r="138" spans="1:2" x14ac:dyDescent="0.25">
      <c r="A138" s="17" t="s">
        <v>253</v>
      </c>
      <c r="B138" s="17" t="s">
        <v>478</v>
      </c>
    </row>
    <row r="139" spans="1:2" x14ac:dyDescent="0.25">
      <c r="A139" s="17" t="s">
        <v>254</v>
      </c>
      <c r="B139" s="17" t="s">
        <v>479</v>
      </c>
    </row>
    <row r="140" spans="1:2" x14ac:dyDescent="0.25">
      <c r="A140" s="17" t="s">
        <v>255</v>
      </c>
      <c r="B140" s="17" t="s">
        <v>480</v>
      </c>
    </row>
    <row r="141" spans="1:2" x14ac:dyDescent="0.25">
      <c r="A141" s="17" t="s">
        <v>256</v>
      </c>
      <c r="B141" s="17" t="s">
        <v>481</v>
      </c>
    </row>
    <row r="142" spans="1:2" x14ac:dyDescent="0.25">
      <c r="A142" s="17" t="s">
        <v>257</v>
      </c>
      <c r="B142" s="17" t="s">
        <v>482</v>
      </c>
    </row>
    <row r="143" spans="1:2" x14ac:dyDescent="0.25">
      <c r="A143" s="17" t="s">
        <v>258</v>
      </c>
      <c r="B143" s="17" t="s">
        <v>483</v>
      </c>
    </row>
    <row r="144" spans="1:2" x14ac:dyDescent="0.25">
      <c r="A144" s="17" t="s">
        <v>259</v>
      </c>
      <c r="B144" s="17" t="s">
        <v>484</v>
      </c>
    </row>
    <row r="145" spans="1:2" x14ac:dyDescent="0.25">
      <c r="A145" s="17" t="s">
        <v>260</v>
      </c>
      <c r="B145" s="17" t="s">
        <v>485</v>
      </c>
    </row>
    <row r="146" spans="1:2" x14ac:dyDescent="0.25">
      <c r="A146" s="17" t="s">
        <v>261</v>
      </c>
      <c r="B146" s="17" t="s">
        <v>486</v>
      </c>
    </row>
    <row r="147" spans="1:2" x14ac:dyDescent="0.25">
      <c r="A147" s="17" t="s">
        <v>262</v>
      </c>
      <c r="B147" s="17" t="s">
        <v>487</v>
      </c>
    </row>
    <row r="148" spans="1:2" x14ac:dyDescent="0.25">
      <c r="A148" s="17" t="s">
        <v>263</v>
      </c>
      <c r="B148" s="17" t="s">
        <v>488</v>
      </c>
    </row>
    <row r="149" spans="1:2" x14ac:dyDescent="0.25">
      <c r="A149" s="17" t="s">
        <v>264</v>
      </c>
      <c r="B149" s="17" t="s">
        <v>489</v>
      </c>
    </row>
    <row r="150" spans="1:2" x14ac:dyDescent="0.25">
      <c r="A150" s="17" t="s">
        <v>265</v>
      </c>
      <c r="B150" s="17" t="s">
        <v>490</v>
      </c>
    </row>
    <row r="151" spans="1:2" x14ac:dyDescent="0.25">
      <c r="A151" s="17" t="s">
        <v>266</v>
      </c>
      <c r="B151" s="17" t="s">
        <v>491</v>
      </c>
    </row>
    <row r="152" spans="1:2" x14ac:dyDescent="0.25">
      <c r="A152" s="17" t="s">
        <v>267</v>
      </c>
      <c r="B152" s="17" t="s">
        <v>492</v>
      </c>
    </row>
    <row r="153" spans="1:2" x14ac:dyDescent="0.25">
      <c r="A153" s="17" t="s">
        <v>268</v>
      </c>
      <c r="B153" s="17" t="s">
        <v>493</v>
      </c>
    </row>
    <row r="154" spans="1:2" x14ac:dyDescent="0.25">
      <c r="A154" s="17" t="s">
        <v>269</v>
      </c>
      <c r="B154" s="17" t="s">
        <v>494</v>
      </c>
    </row>
    <row r="155" spans="1:2" x14ac:dyDescent="0.25">
      <c r="A155" s="17" t="s">
        <v>270</v>
      </c>
      <c r="B155" s="17" t="s">
        <v>495</v>
      </c>
    </row>
    <row r="156" spans="1:2" x14ac:dyDescent="0.25">
      <c r="A156" s="17" t="s">
        <v>271</v>
      </c>
      <c r="B156" s="17" t="s">
        <v>496</v>
      </c>
    </row>
    <row r="157" spans="1:2" x14ac:dyDescent="0.25">
      <c r="A157" s="17" t="s">
        <v>272</v>
      </c>
      <c r="B157" s="17" t="s">
        <v>497</v>
      </c>
    </row>
    <row r="158" spans="1:2" x14ac:dyDescent="0.25">
      <c r="A158" s="17" t="s">
        <v>273</v>
      </c>
      <c r="B158" s="17" t="s">
        <v>498</v>
      </c>
    </row>
    <row r="159" spans="1:2" x14ac:dyDescent="0.25">
      <c r="A159" s="17" t="s">
        <v>274</v>
      </c>
      <c r="B159" s="17" t="s">
        <v>499</v>
      </c>
    </row>
    <row r="160" spans="1:2" x14ac:dyDescent="0.25">
      <c r="A160" s="17" t="s">
        <v>275</v>
      </c>
      <c r="B160" s="17" t="s">
        <v>500</v>
      </c>
    </row>
    <row r="161" spans="1:2" x14ac:dyDescent="0.25">
      <c r="A161" s="17" t="s">
        <v>276</v>
      </c>
      <c r="B161" s="17" t="s">
        <v>501</v>
      </c>
    </row>
    <row r="162" spans="1:2" x14ac:dyDescent="0.25">
      <c r="A162" s="17" t="s">
        <v>277</v>
      </c>
      <c r="B162" s="17" t="s">
        <v>502</v>
      </c>
    </row>
    <row r="163" spans="1:2" x14ac:dyDescent="0.25">
      <c r="A163" s="17" t="s">
        <v>278</v>
      </c>
      <c r="B163" s="17" t="s">
        <v>503</v>
      </c>
    </row>
    <row r="164" spans="1:2" x14ac:dyDescent="0.25">
      <c r="A164" s="17" t="s">
        <v>279</v>
      </c>
      <c r="B164" s="17" t="s">
        <v>108</v>
      </c>
    </row>
    <row r="165" spans="1:2" x14ac:dyDescent="0.25">
      <c r="A165" s="17" t="s">
        <v>280</v>
      </c>
      <c r="B165" s="17" t="s">
        <v>504</v>
      </c>
    </row>
    <row r="166" spans="1:2" x14ac:dyDescent="0.25">
      <c r="A166" s="17" t="s">
        <v>281</v>
      </c>
      <c r="B166" s="17" t="s">
        <v>505</v>
      </c>
    </row>
    <row r="167" spans="1:2" x14ac:dyDescent="0.25">
      <c r="A167" s="17" t="s">
        <v>282</v>
      </c>
      <c r="B167" s="17" t="s">
        <v>506</v>
      </c>
    </row>
    <row r="168" spans="1:2" x14ac:dyDescent="0.25">
      <c r="A168" s="17" t="s">
        <v>283</v>
      </c>
      <c r="B168" s="17" t="s">
        <v>507</v>
      </c>
    </row>
    <row r="169" spans="1:2" x14ac:dyDescent="0.25">
      <c r="A169" s="17" t="s">
        <v>284</v>
      </c>
      <c r="B169" s="17" t="s">
        <v>109</v>
      </c>
    </row>
    <row r="170" spans="1:2" x14ac:dyDescent="0.25">
      <c r="A170" s="17" t="s">
        <v>285</v>
      </c>
      <c r="B170" s="17" t="s">
        <v>110</v>
      </c>
    </row>
    <row r="171" spans="1:2" x14ac:dyDescent="0.25">
      <c r="A171" s="17" t="s">
        <v>286</v>
      </c>
      <c r="B171" s="17" t="s">
        <v>111</v>
      </c>
    </row>
    <row r="172" spans="1:2" x14ac:dyDescent="0.25">
      <c r="A172" s="17" t="s">
        <v>287</v>
      </c>
      <c r="B172" s="17" t="s">
        <v>508</v>
      </c>
    </row>
    <row r="173" spans="1:2" x14ac:dyDescent="0.25">
      <c r="A173" s="17" t="s">
        <v>288</v>
      </c>
      <c r="B173" s="17" t="s">
        <v>509</v>
      </c>
    </row>
    <row r="174" spans="1:2" x14ac:dyDescent="0.25">
      <c r="A174" s="17" t="s">
        <v>289</v>
      </c>
      <c r="B174" s="17" t="s">
        <v>510</v>
      </c>
    </row>
    <row r="175" spans="1:2" x14ac:dyDescent="0.25">
      <c r="A175" s="17" t="s">
        <v>290</v>
      </c>
      <c r="B175" s="17" t="s">
        <v>511</v>
      </c>
    </row>
    <row r="176" spans="1:2" x14ac:dyDescent="0.25">
      <c r="A176" s="17" t="s">
        <v>291</v>
      </c>
      <c r="B176" s="17" t="s">
        <v>512</v>
      </c>
    </row>
    <row r="177" spans="1:2" x14ac:dyDescent="0.25">
      <c r="A177" s="17" t="s">
        <v>292</v>
      </c>
      <c r="B177" s="17" t="s">
        <v>513</v>
      </c>
    </row>
    <row r="178" spans="1:2" x14ac:dyDescent="0.25">
      <c r="A178" s="17" t="s">
        <v>293</v>
      </c>
      <c r="B178" s="17" t="s">
        <v>514</v>
      </c>
    </row>
    <row r="179" spans="1:2" x14ac:dyDescent="0.25">
      <c r="A179" s="17" t="s">
        <v>294</v>
      </c>
      <c r="B179" s="17" t="s">
        <v>515</v>
      </c>
    </row>
    <row r="180" spans="1:2" x14ac:dyDescent="0.25">
      <c r="A180" s="17" t="s">
        <v>295</v>
      </c>
      <c r="B180" s="17" t="s">
        <v>516</v>
      </c>
    </row>
    <row r="181" spans="1:2" x14ac:dyDescent="0.25">
      <c r="A181" s="17" t="s">
        <v>296</v>
      </c>
      <c r="B181" s="17" t="s">
        <v>517</v>
      </c>
    </row>
    <row r="182" spans="1:2" x14ac:dyDescent="0.25">
      <c r="A182" s="17" t="s">
        <v>297</v>
      </c>
      <c r="B182" s="17" t="s">
        <v>518</v>
      </c>
    </row>
    <row r="183" spans="1:2" x14ac:dyDescent="0.25">
      <c r="A183" s="17" t="s">
        <v>298</v>
      </c>
      <c r="B183" s="17" t="s">
        <v>519</v>
      </c>
    </row>
    <row r="184" spans="1:2" x14ac:dyDescent="0.25">
      <c r="A184" s="17" t="s">
        <v>299</v>
      </c>
      <c r="B184" s="17" t="s">
        <v>520</v>
      </c>
    </row>
    <row r="185" spans="1:2" x14ac:dyDescent="0.25">
      <c r="A185" s="17" t="s">
        <v>300</v>
      </c>
      <c r="B185" s="17" t="s">
        <v>521</v>
      </c>
    </row>
    <row r="186" spans="1:2" x14ac:dyDescent="0.25">
      <c r="A186" s="17" t="s">
        <v>301</v>
      </c>
      <c r="B186" s="17" t="s">
        <v>522</v>
      </c>
    </row>
    <row r="187" spans="1:2" x14ac:dyDescent="0.25">
      <c r="A187" s="17" t="s">
        <v>302</v>
      </c>
      <c r="B187" s="17" t="s">
        <v>523</v>
      </c>
    </row>
    <row r="188" spans="1:2" x14ac:dyDescent="0.25">
      <c r="A188" s="17" t="s">
        <v>303</v>
      </c>
      <c r="B188" s="17" t="s">
        <v>524</v>
      </c>
    </row>
    <row r="189" spans="1:2" x14ac:dyDescent="0.25">
      <c r="A189" s="17" t="s">
        <v>304</v>
      </c>
      <c r="B189" s="17" t="s">
        <v>525</v>
      </c>
    </row>
    <row r="190" spans="1:2" x14ac:dyDescent="0.25">
      <c r="A190" s="17" t="s">
        <v>305</v>
      </c>
      <c r="B190" s="17" t="s">
        <v>112</v>
      </c>
    </row>
    <row r="191" spans="1:2" x14ac:dyDescent="0.25">
      <c r="A191" s="17" t="s">
        <v>306</v>
      </c>
      <c r="B191" s="17" t="s">
        <v>526</v>
      </c>
    </row>
    <row r="192" spans="1:2" x14ac:dyDescent="0.25">
      <c r="A192" s="17" t="s">
        <v>307</v>
      </c>
      <c r="B192" s="17" t="s">
        <v>527</v>
      </c>
    </row>
    <row r="193" spans="1:2" x14ac:dyDescent="0.25">
      <c r="A193" s="17" t="s">
        <v>308</v>
      </c>
      <c r="B193" s="17" t="s">
        <v>528</v>
      </c>
    </row>
    <row r="194" spans="1:2" x14ac:dyDescent="0.25">
      <c r="A194" s="17" t="s">
        <v>1083</v>
      </c>
      <c r="B194" s="17" t="s">
        <v>1084</v>
      </c>
    </row>
    <row r="195" spans="1:2" x14ac:dyDescent="0.25">
      <c r="A195" s="17" t="s">
        <v>1085</v>
      </c>
      <c r="B195" s="17" t="s">
        <v>1086</v>
      </c>
    </row>
    <row r="196" spans="1:2" x14ac:dyDescent="0.25">
      <c r="A196" s="17" t="s">
        <v>1087</v>
      </c>
      <c r="B196" s="17" t="s">
        <v>1088</v>
      </c>
    </row>
    <row r="197" spans="1:2" x14ac:dyDescent="0.25">
      <c r="A197" s="17" t="s">
        <v>1089</v>
      </c>
      <c r="B197" s="17" t="s">
        <v>1090</v>
      </c>
    </row>
    <row r="198" spans="1:2" x14ac:dyDescent="0.25">
      <c r="A198" s="17" t="s">
        <v>1091</v>
      </c>
      <c r="B198" s="17" t="s">
        <v>1092</v>
      </c>
    </row>
    <row r="199" spans="1:2" x14ac:dyDescent="0.25">
      <c r="A199" s="301"/>
      <c r="B199" s="302"/>
    </row>
    <row r="200" spans="1:2" x14ac:dyDescent="0.25">
      <c r="A200" s="301"/>
      <c r="B200" s="302"/>
    </row>
    <row r="201" spans="1:2" x14ac:dyDescent="0.25">
      <c r="A201" s="301"/>
      <c r="B201" s="302"/>
    </row>
    <row r="202" spans="1:2" x14ac:dyDescent="0.25">
      <c r="A202" s="301"/>
      <c r="B202" s="302"/>
    </row>
    <row r="203" spans="1:2" x14ac:dyDescent="0.25">
      <c r="A203" s="301"/>
      <c r="B203" s="302"/>
    </row>
    <row r="204" spans="1:2" x14ac:dyDescent="0.25">
      <c r="A204" s="301"/>
      <c r="B204" s="302"/>
    </row>
    <row r="205" spans="1:2" x14ac:dyDescent="0.25">
      <c r="A205" s="301"/>
      <c r="B205" s="302"/>
    </row>
    <row r="206" spans="1:2" x14ac:dyDescent="0.25">
      <c r="A206" s="301"/>
      <c r="B206" s="302"/>
    </row>
    <row r="207" spans="1:2" x14ac:dyDescent="0.25">
      <c r="A207" s="303"/>
    </row>
  </sheetData>
  <sheetProtection algorithmName="SHA-512" hashValue="ZALohvyPp0c/V8LvZy219v6YDD+YFdwtAQAabrDCc8oA9Dr0lAMyS8Z9kfqrUPaSDAZX64HiyKcowMCu7ZFy9g==" saltValue="geDCffosAgid2IuU9IjNHg==" spinCount="100000" sheet="1" objects="1" scenarios="1" selectLockedCells="1" selectUnlockedCells="1"/>
  <sortState xmlns:xlrd2="http://schemas.microsoft.com/office/spreadsheetml/2017/richdata2" ref="P2:Q32">
    <sortCondition ref="Q2:Q32"/>
  </sortState>
  <phoneticPr fontId="12" type="noConversion"/>
  <hyperlinks>
    <hyperlink ref="P19" location="_ftn1" display="_ftn1" xr:uid="{00000000-0004-0000-0700-000000000000}"/>
    <hyperlink ref="AE40" location="_ftn1" display="_ftn1" xr:uid="{00000000-0004-0000-0700-000001000000}"/>
    <hyperlink ref="AH35" location="_ftn1" display="_ftn1" xr:uid="{00000000-0004-0000-0700-000002000000}"/>
  </hyperlinks>
  <pageMargins left="0.7" right="0.7" top="0.75" bottom="0.75" header="0.3" footer="0.3"/>
  <pageSetup orientation="portrait" r:id="rId1"/>
  <ignoredErrors>
    <ignoredError sqref="T2:T5 T7:T8 T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 1.2 - Ingresos F.E </vt:lpstr>
      <vt:lpstr>F 1.2A Cálculo I-F.E.</vt:lpstr>
      <vt:lpstr>F2 Gastos</vt:lpstr>
      <vt:lpstr>F3-Clas. Económica</vt:lpstr>
      <vt:lpstr>F4 Planta</vt:lpstr>
      <vt:lpstr>F4A Nóm</vt:lpstr>
      <vt:lpstr>DESPLEGABLES</vt:lpstr>
      <vt:lpstr>DESPLEGABLES!_ftn1</vt:lpstr>
      <vt:lpstr>DESPLEGABLES!_ftnref1</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Rosa.Blanco@minhacienda.gov.co</dc:creator>
  <cp:lastModifiedBy>Juan Manuel Velasco</cp:lastModifiedBy>
  <cp:lastPrinted>2019-03-30T00:40:00Z</cp:lastPrinted>
  <dcterms:created xsi:type="dcterms:W3CDTF">2016-02-02T18:51:55Z</dcterms:created>
  <dcterms:modified xsi:type="dcterms:W3CDTF">2021-08-11T17:23:10Z</dcterms:modified>
</cp:coreProperties>
</file>