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Users\carlos.guzman\Desktop\CORREOS SOLICITUDES Y RTAS\"/>
    </mc:Choice>
  </mc:AlternateContent>
  <xr:revisionPtr revIDLastSave="0" documentId="8_{59FB8D7E-4835-43A0-949C-AA1851BD6E43}" xr6:coauthVersionLast="47" xr6:coauthVersionMax="47" xr10:uidLastSave="{00000000-0000-0000-0000-000000000000}"/>
  <bookViews>
    <workbookView xWindow="-28920" yWindow="-75" windowWidth="29040" windowHeight="15720" xr2:uid="{A01C9234-6E47-48DA-949E-D73D217DA97D}"/>
  </bookViews>
  <sheets>
    <sheet name="EJECUCIÓN" sheetId="1" r:id="rId1"/>
  </sheets>
  <externalReferences>
    <externalReference r:id="rId2"/>
    <externalReference r:id="rId3"/>
  </externalReferences>
  <definedNames>
    <definedName name="_xlnm._FilterDatabase" localSheetId="0" hidden="1">EJECUCIÓN!$A$1:$AE$131</definedName>
    <definedName name="_Hlk105592051">[1]Procesos!#REF!</definedName>
    <definedName name="_Hlk110374089">#REF!</definedName>
    <definedName name="_Hlk116555417">[1]Procesos!#REF!</definedName>
    <definedName name="_Hlk116633778">#REF!</definedName>
    <definedName name="_Hlk123304439">#REF!</definedName>
    <definedName name="_Hlk128223398">#REF!</definedName>
    <definedName name="_Hlk130314194">#REF!</definedName>
    <definedName name="_Hlk135679546">#REF!</definedName>
    <definedName name="_Hlk136005445">[1]Procesos!#REF!</definedName>
    <definedName name="_Hlk147495102">#REF!</definedName>
    <definedName name="_Hlk160516244">#REF!</definedName>
    <definedName name="_Hlk160521524">#REF!</definedName>
    <definedName name="_Hlk173746503">#REF!</definedName>
    <definedName name="_Hlk182415984">#REF!</definedName>
    <definedName name="_Hlk26523623">[1]Procesos!#REF!</definedName>
    <definedName name="_Hlk33176819">#REF!</definedName>
    <definedName name="_Hlk35642408">[1]Procesos!#REF!</definedName>
    <definedName name="_Hlk36109458">#REF!</definedName>
    <definedName name="_Hlk45700344">[1]Procesos!#REF!</definedName>
    <definedName name="_Hlk47457417">[1]Procesos!#REF!</definedName>
    <definedName name="_Hlk49347159">#REF!</definedName>
    <definedName name="_Hlk494276910">#REF!</definedName>
    <definedName name="_Hlk502916878">[1]Procesos!#REF!</definedName>
    <definedName name="_Hlk513191942">#REF!</definedName>
    <definedName name="_Hlk530041356">[1]Procesos!#REF!</definedName>
    <definedName name="_Hlk531544264">[1]Procesos!#REF!</definedName>
    <definedName name="_Hlk53164404">[1]Procesos!#REF!</definedName>
    <definedName name="_Hlk55479840">[1]Procesos!#REF!</definedName>
    <definedName name="_Hlk59641802">[1]Procesos!#REF!</definedName>
    <definedName name="_Hlk60602017">[1]Procesos!#REF!</definedName>
    <definedName name="_Hlk60749835">[1]Procesos!#REF!</definedName>
    <definedName name="_Hlk60759131">[1]Procesos!#REF!</definedName>
    <definedName name="_Hlk60763804">[1]Procesos!#REF!</definedName>
    <definedName name="_Hlk60924862">[1]Procesos!#REF!</definedName>
    <definedName name="_Hlk61360840">#REF!</definedName>
    <definedName name="_Hlk61547881">#REF!</definedName>
    <definedName name="_Hlk62552812">#REF!</definedName>
    <definedName name="_Hlk66049980">[1]Procesos!#REF!</definedName>
    <definedName name="_Hlk66205409">[1]Procesos!#REF!</definedName>
    <definedName name="_Hlk67899562">#REF!</definedName>
    <definedName name="_Hlk71897782">#REF!</definedName>
    <definedName name="_Hlk74786305">[1]Procesos!#REF!</definedName>
    <definedName name="_Hlk90834169">[1]Procesos!#REF!</definedName>
    <definedName name="_Hlk91056478">[1]Procesos!#REF!</definedName>
    <definedName name="cfgAnoSECOP">#REF!</definedName>
    <definedName name="cfgNitCRC">#REF!</definedName>
    <definedName name="lista_modalidad">[1]Hoja1!$A$1:$A$7</definedName>
    <definedName name="ListaContratosPoliza">[1]Contratos!$A$2:$A$10000</definedName>
    <definedName name="ModalidadContratacion">[2]ListaTipoContratacion!$C$4:$C$12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AA96" i="1" l="1" a="1"/>
  <c r="AA96" i="1" s="1"/>
  <c r="T96" i="1"/>
  <c r="Q96" i="1"/>
  <c r="N96" i="1"/>
  <c r="F96" i="1"/>
  <c r="D96" i="1"/>
  <c r="A96" i="1"/>
  <c r="V96" i="1" s="1"/>
  <c r="AC95" i="1"/>
  <c r="AA95" i="1" a="1"/>
  <c r="AA95" i="1" s="1"/>
  <c r="W95" i="1"/>
  <c r="X95" i="1" s="1" a="1"/>
  <c r="X95" i="1" s="1"/>
  <c r="V95" i="1"/>
  <c r="U95" i="1"/>
  <c r="T95" i="1"/>
  <c r="Q95" i="1"/>
  <c r="O95" i="1"/>
  <c r="N95" i="1"/>
  <c r="M95" i="1"/>
  <c r="G95" i="1"/>
  <c r="F95" i="1"/>
  <c r="E95" i="1"/>
  <c r="D95" i="1"/>
  <c r="C95" i="1"/>
  <c r="B95" i="1"/>
  <c r="A95" i="1"/>
  <c r="R95" i="1" s="1"/>
  <c r="AC94" i="1"/>
  <c r="AA94" i="1" a="1"/>
  <c r="AA94" i="1" s="1"/>
  <c r="W94" i="1"/>
  <c r="X94" i="1" s="1" a="1"/>
  <c r="X94" i="1" s="1"/>
  <c r="V94" i="1"/>
  <c r="U94" i="1"/>
  <c r="T94" i="1"/>
  <c r="Q94" i="1"/>
  <c r="O94" i="1"/>
  <c r="N94" i="1"/>
  <c r="M94" i="1"/>
  <c r="G94" i="1"/>
  <c r="F94" i="1"/>
  <c r="E94" i="1"/>
  <c r="D94" i="1"/>
  <c r="C94" i="1"/>
  <c r="B94" i="1"/>
  <c r="A94" i="1"/>
  <c r="S94" i="1" s="1"/>
  <c r="AC93" i="1"/>
  <c r="AA93" i="1" a="1"/>
  <c r="AA93" i="1" s="1"/>
  <c r="W93" i="1"/>
  <c r="X93" i="1" s="1" a="1"/>
  <c r="X93" i="1" s="1"/>
  <c r="V93" i="1"/>
  <c r="U93" i="1"/>
  <c r="T93" i="1"/>
  <c r="Q93" i="1"/>
  <c r="O93" i="1"/>
  <c r="N93" i="1"/>
  <c r="M93" i="1"/>
  <c r="G93" i="1"/>
  <c r="F93" i="1"/>
  <c r="E93" i="1"/>
  <c r="D93" i="1"/>
  <c r="C93" i="1"/>
  <c r="B93" i="1"/>
  <c r="A93" i="1"/>
  <c r="J93" i="1" s="1"/>
  <c r="AC92" i="1"/>
  <c r="AA92" i="1" a="1"/>
  <c r="AA92" i="1" s="1"/>
  <c r="W92" i="1"/>
  <c r="X92" i="1" s="1" a="1"/>
  <c r="X92" i="1" s="1"/>
  <c r="V92" i="1"/>
  <c r="U92" i="1"/>
  <c r="T92" i="1"/>
  <c r="Q92" i="1"/>
  <c r="O92" i="1"/>
  <c r="N92" i="1"/>
  <c r="M92" i="1"/>
  <c r="G92" i="1"/>
  <c r="F92" i="1"/>
  <c r="E92" i="1"/>
  <c r="C92" i="1"/>
  <c r="B92" i="1"/>
  <c r="AG92" i="1" s="1" a="1"/>
  <c r="AG92" i="1" s="1"/>
  <c r="AF92" i="1" s="1" a="1"/>
  <c r="AF92" i="1" s="1"/>
  <c r="AH92" i="1" s="1" a="1"/>
  <c r="AH92" i="1" s="1"/>
  <c r="A92" i="1"/>
  <c r="P92" i="1" s="1"/>
  <c r="AC91" i="1"/>
  <c r="AA91" i="1" a="1"/>
  <c r="AA91" i="1" s="1"/>
  <c r="W91" i="1"/>
  <c r="X91" i="1" s="1" a="1"/>
  <c r="X91" i="1" s="1"/>
  <c r="V91" i="1"/>
  <c r="U91" i="1"/>
  <c r="T91" i="1"/>
  <c r="Q91" i="1"/>
  <c r="O91" i="1"/>
  <c r="N91" i="1"/>
  <c r="M91" i="1"/>
  <c r="G91" i="1"/>
  <c r="F91" i="1"/>
  <c r="E91" i="1"/>
  <c r="C91" i="1"/>
  <c r="B91" i="1"/>
  <c r="A91" i="1"/>
  <c r="S91" i="1" s="1"/>
  <c r="AC90" i="1"/>
  <c r="AA90" i="1" a="1"/>
  <c r="AA90" i="1" s="1"/>
  <c r="W90" i="1"/>
  <c r="X90" i="1" s="1" a="1"/>
  <c r="X90" i="1" s="1"/>
  <c r="V90" i="1"/>
  <c r="U90" i="1"/>
  <c r="T90" i="1"/>
  <c r="Q90" i="1"/>
  <c r="O90" i="1"/>
  <c r="AD90" i="1" s="1"/>
  <c r="N90" i="1"/>
  <c r="M90" i="1"/>
  <c r="G90" i="1"/>
  <c r="F90" i="1"/>
  <c r="E90" i="1"/>
  <c r="B90" i="1"/>
  <c r="A90" i="1"/>
  <c r="S90" i="1" s="1"/>
  <c r="AC89" i="1"/>
  <c r="AA89" i="1" a="1"/>
  <c r="AA89" i="1" s="1"/>
  <c r="W89" i="1"/>
  <c r="X89" i="1" s="1" a="1"/>
  <c r="X89" i="1" s="1"/>
  <c r="V89" i="1"/>
  <c r="U89" i="1"/>
  <c r="T89" i="1"/>
  <c r="Q89" i="1"/>
  <c r="O89" i="1"/>
  <c r="AD89" i="1" s="1"/>
  <c r="N89" i="1"/>
  <c r="M89" i="1"/>
  <c r="G89" i="1"/>
  <c r="F89" i="1"/>
  <c r="E89" i="1"/>
  <c r="C89" i="1"/>
  <c r="B89" i="1"/>
  <c r="A89" i="1"/>
  <c r="S89" i="1" s="1"/>
  <c r="AC88" i="1"/>
  <c r="AA88" i="1" a="1"/>
  <c r="AA88" i="1" s="1"/>
  <c r="W88" i="1"/>
  <c r="X88" i="1" s="1" a="1"/>
  <c r="X88" i="1" s="1"/>
  <c r="V88" i="1"/>
  <c r="U88" i="1"/>
  <c r="T88" i="1"/>
  <c r="Q88" i="1"/>
  <c r="O88" i="1"/>
  <c r="N88" i="1"/>
  <c r="M88" i="1"/>
  <c r="G88" i="1"/>
  <c r="F88" i="1"/>
  <c r="E88" i="1"/>
  <c r="C88" i="1"/>
  <c r="B88" i="1"/>
  <c r="A88" i="1"/>
  <c r="J88" i="1" s="1"/>
  <c r="AC87" i="1"/>
  <c r="AA87" i="1" a="1"/>
  <c r="AA87" i="1" s="1"/>
  <c r="W87" i="1"/>
  <c r="X87" i="1" s="1" a="1"/>
  <c r="X87" i="1" s="1"/>
  <c r="V87" i="1"/>
  <c r="U87" i="1"/>
  <c r="T87" i="1"/>
  <c r="Q87" i="1"/>
  <c r="O87" i="1"/>
  <c r="N87" i="1"/>
  <c r="M87" i="1"/>
  <c r="G87" i="1"/>
  <c r="F87" i="1"/>
  <c r="E87" i="1"/>
  <c r="C87" i="1"/>
  <c r="B87" i="1"/>
  <c r="A87" i="1"/>
  <c r="J87" i="1" s="1"/>
  <c r="AC86" i="1"/>
  <c r="AA86" i="1" a="1"/>
  <c r="AA86" i="1" s="1"/>
  <c r="W86" i="1"/>
  <c r="X86" i="1" s="1" a="1"/>
  <c r="X86" i="1" s="1"/>
  <c r="V86" i="1"/>
  <c r="U86" i="1"/>
  <c r="T86" i="1"/>
  <c r="Q86" i="1"/>
  <c r="O86" i="1"/>
  <c r="N86" i="1"/>
  <c r="M86" i="1"/>
  <c r="G86" i="1"/>
  <c r="F86" i="1"/>
  <c r="E86" i="1"/>
  <c r="C86" i="1"/>
  <c r="B86" i="1"/>
  <c r="A86" i="1"/>
  <c r="AC85" i="1"/>
  <c r="AA85" i="1" a="1"/>
  <c r="AA85" i="1" s="1"/>
  <c r="W85" i="1"/>
  <c r="X85" i="1" s="1" a="1"/>
  <c r="X85" i="1" s="1"/>
  <c r="V85" i="1"/>
  <c r="U85" i="1"/>
  <c r="T85" i="1"/>
  <c r="Q85" i="1"/>
  <c r="O85" i="1"/>
  <c r="N85" i="1"/>
  <c r="M85" i="1"/>
  <c r="G85" i="1"/>
  <c r="F85" i="1"/>
  <c r="E85" i="1"/>
  <c r="C85" i="1"/>
  <c r="B85" i="1"/>
  <c r="A85" i="1"/>
  <c r="S85" i="1" s="1"/>
  <c r="AC84" i="1"/>
  <c r="AA84" i="1" a="1"/>
  <c r="AA84" i="1" s="1"/>
  <c r="W84" i="1"/>
  <c r="X84" i="1" s="1" a="1"/>
  <c r="X84" i="1" s="1"/>
  <c r="V84" i="1"/>
  <c r="U84" i="1"/>
  <c r="T84" i="1"/>
  <c r="Q84" i="1"/>
  <c r="O84" i="1"/>
  <c r="N84" i="1"/>
  <c r="M84" i="1"/>
  <c r="G84" i="1"/>
  <c r="F84" i="1"/>
  <c r="E84" i="1"/>
  <c r="C84" i="1"/>
  <c r="B84" i="1"/>
  <c r="A84" i="1"/>
  <c r="J84" i="1" s="1"/>
  <c r="AC83" i="1"/>
  <c r="AA83" i="1" a="1"/>
  <c r="AA83" i="1" s="1"/>
  <c r="W83" i="1"/>
  <c r="X83" i="1" s="1" a="1"/>
  <c r="X83" i="1" s="1"/>
  <c r="V83" i="1"/>
  <c r="U83" i="1"/>
  <c r="T83" i="1"/>
  <c r="Q83" i="1"/>
  <c r="O83" i="1"/>
  <c r="N83" i="1"/>
  <c r="M83" i="1"/>
  <c r="G83" i="1"/>
  <c r="F83" i="1"/>
  <c r="E83" i="1"/>
  <c r="C83" i="1"/>
  <c r="B83" i="1"/>
  <c r="A83" i="1"/>
  <c r="S83" i="1" s="1"/>
  <c r="G82" i="1"/>
  <c r="F82" i="1"/>
  <c r="E82" i="1"/>
  <c r="C82" i="1"/>
  <c r="B82" i="1"/>
  <c r="A82" i="1"/>
  <c r="H82" i="1" s="1"/>
  <c r="AC81" i="1"/>
  <c r="AA81" i="1" a="1"/>
  <c r="AA81" i="1" s="1"/>
  <c r="W81" i="1"/>
  <c r="X81" i="1" s="1" a="1"/>
  <c r="X81" i="1" s="1"/>
  <c r="V81" i="1"/>
  <c r="U81" i="1"/>
  <c r="T81" i="1"/>
  <c r="Q81" i="1"/>
  <c r="O81" i="1"/>
  <c r="N81" i="1"/>
  <c r="M81" i="1"/>
  <c r="G81" i="1"/>
  <c r="F81" i="1"/>
  <c r="E81" i="1"/>
  <c r="C81" i="1"/>
  <c r="B81" i="1"/>
  <c r="A81" i="1"/>
  <c r="H81" i="1" s="1"/>
  <c r="I81" i="1" s="1"/>
  <c r="AC80" i="1"/>
  <c r="AA80" i="1" a="1"/>
  <c r="AA80" i="1" s="1"/>
  <c r="W80" i="1"/>
  <c r="X80" i="1" s="1" a="1"/>
  <c r="X80" i="1" s="1"/>
  <c r="V80" i="1"/>
  <c r="U80" i="1"/>
  <c r="T80" i="1"/>
  <c r="S80" i="1"/>
  <c r="Q80" i="1"/>
  <c r="O80" i="1"/>
  <c r="N80" i="1"/>
  <c r="M80" i="1"/>
  <c r="G80" i="1"/>
  <c r="E80" i="1"/>
  <c r="C80" i="1"/>
  <c r="B80" i="1"/>
  <c r="A80" i="1"/>
  <c r="R80" i="1" s="1"/>
  <c r="AC79" i="1"/>
  <c r="AA79" i="1" a="1"/>
  <c r="AA79" i="1" s="1"/>
  <c r="W79" i="1"/>
  <c r="X79" i="1" s="1" a="1"/>
  <c r="X79" i="1" s="1"/>
  <c r="V79" i="1"/>
  <c r="U79" i="1"/>
  <c r="O79" i="1"/>
  <c r="N79" i="1"/>
  <c r="M79" i="1"/>
  <c r="G79" i="1"/>
  <c r="E79" i="1"/>
  <c r="C79" i="1"/>
  <c r="B79" i="1"/>
  <c r="AG79" i="1" s="1" a="1"/>
  <c r="AG79" i="1" s="1"/>
  <c r="AF79" i="1" s="1" a="1"/>
  <c r="AF79" i="1" s="1"/>
  <c r="AH79" i="1" s="1" a="1"/>
  <c r="AH79" i="1" s="1"/>
  <c r="A79" i="1"/>
  <c r="H79" i="1" s="1"/>
  <c r="AC78" i="1"/>
  <c r="AA78" i="1" a="1"/>
  <c r="AA78" i="1" s="1"/>
  <c r="W78" i="1"/>
  <c r="X78" i="1" s="1" a="1"/>
  <c r="X78" i="1" s="1"/>
  <c r="V78" i="1"/>
  <c r="U78" i="1"/>
  <c r="T78" i="1"/>
  <c r="Q78" i="1"/>
  <c r="O78" i="1"/>
  <c r="N78" i="1"/>
  <c r="M78" i="1"/>
  <c r="G78" i="1"/>
  <c r="E78" i="1"/>
  <c r="C78" i="1"/>
  <c r="B78" i="1"/>
  <c r="A78" i="1"/>
  <c r="S78" i="1" s="1"/>
  <c r="AC77" i="1"/>
  <c r="W77" i="1"/>
  <c r="X77" i="1" s="1" a="1"/>
  <c r="X77" i="1" s="1"/>
  <c r="V77" i="1"/>
  <c r="U77" i="1"/>
  <c r="T77" i="1"/>
  <c r="Q77" i="1"/>
  <c r="O77" i="1"/>
  <c r="N77" i="1"/>
  <c r="M77" i="1"/>
  <c r="G77" i="1"/>
  <c r="E77" i="1"/>
  <c r="C77" i="1"/>
  <c r="B77" i="1"/>
  <c r="A77" i="1"/>
  <c r="AC76" i="1"/>
  <c r="AA76" i="1" a="1"/>
  <c r="AA76" i="1" s="1"/>
  <c r="W76" i="1"/>
  <c r="X76" i="1" s="1" a="1"/>
  <c r="X76" i="1" s="1"/>
  <c r="V76" i="1"/>
  <c r="U76" i="1"/>
  <c r="T76" i="1"/>
  <c r="Q76" i="1"/>
  <c r="O76" i="1"/>
  <c r="N76" i="1"/>
  <c r="M76" i="1"/>
  <c r="G76" i="1"/>
  <c r="E76" i="1"/>
  <c r="C76" i="1"/>
  <c r="B76" i="1"/>
  <c r="A76" i="1"/>
  <c r="S76" i="1" s="1"/>
  <c r="AC75" i="1"/>
  <c r="AA75" i="1" a="1"/>
  <c r="AA75" i="1" s="1"/>
  <c r="W75" i="1"/>
  <c r="X75" i="1" s="1" a="1"/>
  <c r="X75" i="1" s="1"/>
  <c r="V75" i="1"/>
  <c r="U75" i="1"/>
  <c r="T75" i="1"/>
  <c r="Q75" i="1"/>
  <c r="O75" i="1"/>
  <c r="N75" i="1"/>
  <c r="M75" i="1"/>
  <c r="G75" i="1"/>
  <c r="E75" i="1"/>
  <c r="C75" i="1"/>
  <c r="B75" i="1"/>
  <c r="A75" i="1"/>
  <c r="AC74" i="1"/>
  <c r="AA74" i="1" a="1"/>
  <c r="AA74" i="1" s="1"/>
  <c r="W74" i="1"/>
  <c r="X74" i="1" s="1" a="1"/>
  <c r="X74" i="1" s="1"/>
  <c r="V74" i="1"/>
  <c r="U74" i="1"/>
  <c r="T74" i="1"/>
  <c r="Q74" i="1"/>
  <c r="O74" i="1"/>
  <c r="N74" i="1"/>
  <c r="M74" i="1"/>
  <c r="G74" i="1"/>
  <c r="E74" i="1"/>
  <c r="C74" i="1"/>
  <c r="B74" i="1"/>
  <c r="A74" i="1"/>
  <c r="S74" i="1" s="1"/>
  <c r="AC73" i="1"/>
  <c r="AA73" i="1" a="1"/>
  <c r="AA73" i="1" s="1"/>
  <c r="W73" i="1"/>
  <c r="X73" i="1" s="1" a="1"/>
  <c r="X73" i="1" s="1"/>
  <c r="V73" i="1"/>
  <c r="U73" i="1"/>
  <c r="T73" i="1"/>
  <c r="Q73" i="1"/>
  <c r="O73" i="1"/>
  <c r="N73" i="1"/>
  <c r="M73" i="1"/>
  <c r="G73" i="1"/>
  <c r="E73" i="1"/>
  <c r="C73" i="1"/>
  <c r="B73" i="1"/>
  <c r="A73" i="1"/>
  <c r="R73" i="1" s="1"/>
  <c r="AC72" i="1"/>
  <c r="AA72" i="1" a="1"/>
  <c r="AA72" i="1" s="1"/>
  <c r="W72" i="1"/>
  <c r="X72" i="1" s="1" a="1"/>
  <c r="X72" i="1" s="1"/>
  <c r="V72" i="1"/>
  <c r="U72" i="1"/>
  <c r="O72" i="1"/>
  <c r="N72" i="1"/>
  <c r="M72" i="1"/>
  <c r="G72" i="1"/>
  <c r="E72" i="1"/>
  <c r="C72" i="1"/>
  <c r="B72" i="1"/>
  <c r="A72" i="1"/>
  <c r="P72" i="1" s="1"/>
  <c r="AC71" i="1"/>
  <c r="AA71" i="1" a="1"/>
  <c r="AA71" i="1" s="1"/>
  <c r="W71" i="1"/>
  <c r="X71" i="1" s="1" a="1"/>
  <c r="X71" i="1" s="1"/>
  <c r="V71" i="1"/>
  <c r="U71" i="1"/>
  <c r="T71" i="1"/>
  <c r="Q71" i="1"/>
  <c r="O71" i="1"/>
  <c r="N71" i="1"/>
  <c r="M71" i="1"/>
  <c r="G71" i="1"/>
  <c r="E71" i="1"/>
  <c r="C71" i="1"/>
  <c r="B71" i="1"/>
  <c r="A71" i="1"/>
  <c r="S71" i="1" s="1"/>
  <c r="AC70" i="1"/>
  <c r="AA70" i="1" a="1"/>
  <c r="AA70" i="1" s="1"/>
  <c r="W70" i="1"/>
  <c r="X70" i="1" s="1" a="1"/>
  <c r="X70" i="1" s="1"/>
  <c r="V70" i="1"/>
  <c r="U70" i="1"/>
  <c r="T70" i="1"/>
  <c r="Q70" i="1"/>
  <c r="O70" i="1"/>
  <c r="N70" i="1"/>
  <c r="M70" i="1"/>
  <c r="G70" i="1"/>
  <c r="E70" i="1"/>
  <c r="C70" i="1"/>
  <c r="B70" i="1"/>
  <c r="A70" i="1"/>
  <c r="AC69" i="1"/>
  <c r="AA69" i="1" a="1"/>
  <c r="AA69" i="1" s="1"/>
  <c r="W69" i="1"/>
  <c r="X69" i="1" s="1" a="1"/>
  <c r="X69" i="1" s="1"/>
  <c r="V69" i="1"/>
  <c r="U69" i="1"/>
  <c r="T69" i="1"/>
  <c r="Q69" i="1"/>
  <c r="O69" i="1"/>
  <c r="N69" i="1"/>
  <c r="M69" i="1"/>
  <c r="G69" i="1"/>
  <c r="E69" i="1"/>
  <c r="C69" i="1"/>
  <c r="B69" i="1"/>
  <c r="A69" i="1"/>
  <c r="AC68" i="1"/>
  <c r="AA68" i="1" a="1"/>
  <c r="AA68" i="1" s="1"/>
  <c r="W68" i="1"/>
  <c r="X68" i="1" s="1" a="1"/>
  <c r="X68" i="1" s="1"/>
  <c r="V68" i="1"/>
  <c r="U68" i="1"/>
  <c r="O68" i="1"/>
  <c r="N68" i="1"/>
  <c r="M68" i="1"/>
  <c r="G68" i="1"/>
  <c r="E68" i="1"/>
  <c r="C68" i="1"/>
  <c r="B68" i="1"/>
  <c r="A68" i="1"/>
  <c r="H68" i="1" s="1"/>
  <c r="AC67" i="1"/>
  <c r="AA67" i="1" a="1"/>
  <c r="AA67" i="1" s="1"/>
  <c r="W67" i="1"/>
  <c r="X67" i="1" s="1" a="1"/>
  <c r="X67" i="1" s="1"/>
  <c r="V67" i="1"/>
  <c r="U67" i="1"/>
  <c r="T67" i="1"/>
  <c r="Q67" i="1"/>
  <c r="O67" i="1"/>
  <c r="N67" i="1"/>
  <c r="M67" i="1"/>
  <c r="G67" i="1"/>
  <c r="E67" i="1"/>
  <c r="C67" i="1"/>
  <c r="B67" i="1"/>
  <c r="A67" i="1"/>
  <c r="S67" i="1" s="1"/>
  <c r="AC66" i="1"/>
  <c r="AA66" i="1" a="1"/>
  <c r="AA66" i="1" s="1"/>
  <c r="W66" i="1"/>
  <c r="X66" i="1" s="1" a="1"/>
  <c r="X66" i="1" s="1"/>
  <c r="V66" i="1"/>
  <c r="U66" i="1"/>
  <c r="T66" i="1"/>
  <c r="Q66" i="1"/>
  <c r="O66" i="1"/>
  <c r="N66" i="1"/>
  <c r="M66" i="1"/>
  <c r="G66" i="1"/>
  <c r="E66" i="1"/>
  <c r="C66" i="1"/>
  <c r="B66" i="1"/>
  <c r="A66" i="1"/>
  <c r="S66" i="1" s="1"/>
  <c r="AC65" i="1"/>
  <c r="AA65" i="1" a="1"/>
  <c r="AA65" i="1" s="1"/>
  <c r="W65" i="1"/>
  <c r="X65" i="1" s="1" a="1"/>
  <c r="X65" i="1" s="1"/>
  <c r="V65" i="1"/>
  <c r="U65" i="1"/>
  <c r="T65" i="1"/>
  <c r="R65" i="1"/>
  <c r="Q65" i="1"/>
  <c r="O65" i="1"/>
  <c r="N65" i="1"/>
  <c r="M65" i="1"/>
  <c r="G65" i="1"/>
  <c r="E65" i="1"/>
  <c r="C65" i="1"/>
  <c r="B65" i="1"/>
  <c r="A65" i="1"/>
  <c r="P65" i="1" s="1"/>
  <c r="AC64" i="1"/>
  <c r="AA64" i="1" a="1"/>
  <c r="AA64" i="1" s="1"/>
  <c r="W64" i="1"/>
  <c r="X64" i="1" s="1" a="1"/>
  <c r="X64" i="1" s="1"/>
  <c r="V64" i="1"/>
  <c r="U64" i="1"/>
  <c r="T64" i="1"/>
  <c r="Q64" i="1"/>
  <c r="O64" i="1"/>
  <c r="N64" i="1"/>
  <c r="M64" i="1"/>
  <c r="G64" i="1"/>
  <c r="E64" i="1"/>
  <c r="C64" i="1"/>
  <c r="B64" i="1"/>
  <c r="A64" i="1"/>
  <c r="S64" i="1" s="1"/>
  <c r="AC63" i="1"/>
  <c r="AA63" i="1" a="1"/>
  <c r="AA63" i="1" s="1"/>
  <c r="W63" i="1"/>
  <c r="X63" i="1" s="1" a="1"/>
  <c r="X63" i="1" s="1"/>
  <c r="V63" i="1"/>
  <c r="U63" i="1"/>
  <c r="T63" i="1"/>
  <c r="Q63" i="1"/>
  <c r="O63" i="1"/>
  <c r="N63" i="1"/>
  <c r="M63" i="1"/>
  <c r="G63" i="1"/>
  <c r="E63" i="1"/>
  <c r="C63" i="1"/>
  <c r="B63" i="1"/>
  <c r="A63" i="1"/>
  <c r="J63" i="1" s="1"/>
  <c r="AC62" i="1"/>
  <c r="AA62" i="1" a="1"/>
  <c r="AA62" i="1" s="1"/>
  <c r="W62" i="1"/>
  <c r="X62" i="1" s="1" a="1"/>
  <c r="X62" i="1" s="1"/>
  <c r="V62" i="1"/>
  <c r="U62" i="1"/>
  <c r="T62" i="1"/>
  <c r="Q62" i="1"/>
  <c r="O62" i="1"/>
  <c r="N62" i="1"/>
  <c r="M62" i="1"/>
  <c r="G62" i="1"/>
  <c r="E62" i="1"/>
  <c r="C62" i="1"/>
  <c r="B62" i="1"/>
  <c r="A62" i="1"/>
  <c r="AC61" i="1"/>
  <c r="AA61" i="1" a="1"/>
  <c r="AA61" i="1" s="1"/>
  <c r="W61" i="1"/>
  <c r="X61" i="1" s="1" a="1"/>
  <c r="X61" i="1" s="1"/>
  <c r="V61" i="1"/>
  <c r="U61" i="1"/>
  <c r="T61" i="1"/>
  <c r="Q61" i="1"/>
  <c r="O61" i="1"/>
  <c r="N61" i="1"/>
  <c r="M61" i="1"/>
  <c r="G61" i="1"/>
  <c r="E61" i="1"/>
  <c r="C61" i="1"/>
  <c r="B61" i="1"/>
  <c r="A61" i="1"/>
  <c r="AC60" i="1"/>
  <c r="AA60" i="1" a="1"/>
  <c r="AA60" i="1" s="1"/>
  <c r="W60" i="1"/>
  <c r="X60" i="1" s="1" a="1"/>
  <c r="X60" i="1" s="1"/>
  <c r="V60" i="1"/>
  <c r="U60" i="1"/>
  <c r="T60" i="1"/>
  <c r="Q60" i="1"/>
  <c r="O60" i="1"/>
  <c r="N60" i="1"/>
  <c r="M60" i="1"/>
  <c r="G60" i="1"/>
  <c r="E60" i="1"/>
  <c r="C60" i="1"/>
  <c r="B60" i="1"/>
  <c r="A60" i="1"/>
  <c r="S60" i="1" s="1"/>
  <c r="AC59" i="1"/>
  <c r="AA59" i="1" a="1"/>
  <c r="AA59" i="1" s="1"/>
  <c r="W59" i="1"/>
  <c r="X59" i="1" s="1" a="1"/>
  <c r="X59" i="1" s="1"/>
  <c r="V59" i="1"/>
  <c r="U59" i="1"/>
  <c r="T59" i="1"/>
  <c r="Q59" i="1"/>
  <c r="O59" i="1"/>
  <c r="N59" i="1"/>
  <c r="M59" i="1"/>
  <c r="G59" i="1"/>
  <c r="E59" i="1"/>
  <c r="C59" i="1"/>
  <c r="B59" i="1"/>
  <c r="A59" i="1"/>
  <c r="AG59" i="1" s="1" a="1"/>
  <c r="AG59" i="1" s="1"/>
  <c r="AF59" i="1" s="1" a="1"/>
  <c r="AF59" i="1" s="1"/>
  <c r="AH59" i="1" s="1" a="1"/>
  <c r="AH59" i="1" s="1"/>
  <c r="AC58" i="1"/>
  <c r="AA58" i="1" a="1"/>
  <c r="AA58" i="1" s="1"/>
  <c r="W58" i="1"/>
  <c r="X58" i="1" s="1" a="1"/>
  <c r="X58" i="1" s="1"/>
  <c r="V58" i="1"/>
  <c r="U58" i="1"/>
  <c r="T58" i="1"/>
  <c r="Q58" i="1"/>
  <c r="O58" i="1"/>
  <c r="N58" i="1"/>
  <c r="M58" i="1"/>
  <c r="G58" i="1"/>
  <c r="E58" i="1"/>
  <c r="C58" i="1"/>
  <c r="B58" i="1"/>
  <c r="A58" i="1"/>
  <c r="S58" i="1" s="1"/>
  <c r="AC57" i="1"/>
  <c r="AA57" i="1" a="1"/>
  <c r="AA57" i="1" s="1"/>
  <c r="W57" i="1"/>
  <c r="X57" i="1" s="1" a="1"/>
  <c r="X57" i="1" s="1"/>
  <c r="V57" i="1"/>
  <c r="U57" i="1"/>
  <c r="T57" i="1"/>
  <c r="Q57" i="1"/>
  <c r="O57" i="1"/>
  <c r="N57" i="1"/>
  <c r="M57" i="1"/>
  <c r="G57" i="1"/>
  <c r="E57" i="1"/>
  <c r="C57" i="1"/>
  <c r="B57" i="1"/>
  <c r="A57" i="1"/>
  <c r="S57" i="1" s="1"/>
  <c r="AC56" i="1"/>
  <c r="AA56" i="1" a="1"/>
  <c r="AA56" i="1" s="1"/>
  <c r="W56" i="1"/>
  <c r="X56" i="1" s="1" a="1"/>
  <c r="X56" i="1" s="1"/>
  <c r="V56" i="1"/>
  <c r="U56" i="1"/>
  <c r="T56" i="1"/>
  <c r="Q56" i="1"/>
  <c r="O56" i="1"/>
  <c r="N56" i="1"/>
  <c r="M56" i="1"/>
  <c r="G56" i="1"/>
  <c r="E56" i="1"/>
  <c r="C56" i="1"/>
  <c r="B56" i="1"/>
  <c r="A56" i="1"/>
  <c r="S56" i="1" s="1"/>
  <c r="AC55" i="1"/>
  <c r="AA55" i="1" a="1"/>
  <c r="AA55" i="1" s="1"/>
  <c r="W55" i="1"/>
  <c r="X55" i="1" s="1" a="1"/>
  <c r="X55" i="1" s="1"/>
  <c r="V55" i="1"/>
  <c r="U55" i="1"/>
  <c r="T55" i="1"/>
  <c r="Q55" i="1"/>
  <c r="O55" i="1"/>
  <c r="N55" i="1"/>
  <c r="M55" i="1"/>
  <c r="G55" i="1"/>
  <c r="E55" i="1"/>
  <c r="C55" i="1"/>
  <c r="B55" i="1"/>
  <c r="A55" i="1"/>
  <c r="J55" i="1" s="1"/>
  <c r="AC54" i="1"/>
  <c r="AA54" i="1" a="1"/>
  <c r="AA54" i="1" s="1"/>
  <c r="W54" i="1"/>
  <c r="X54" i="1" s="1" a="1"/>
  <c r="X54" i="1" s="1"/>
  <c r="V54" i="1"/>
  <c r="U54" i="1"/>
  <c r="T54" i="1"/>
  <c r="Q54" i="1"/>
  <c r="O54" i="1"/>
  <c r="N54" i="1"/>
  <c r="M54" i="1"/>
  <c r="G54" i="1"/>
  <c r="E54" i="1"/>
  <c r="C54" i="1"/>
  <c r="B54" i="1"/>
  <c r="A54" i="1"/>
  <c r="P54" i="1" s="1"/>
  <c r="AC53" i="1"/>
  <c r="AA53" i="1" a="1"/>
  <c r="AA53" i="1" s="1"/>
  <c r="W53" i="1"/>
  <c r="X53" i="1" s="1" a="1"/>
  <c r="X53" i="1" s="1"/>
  <c r="V53" i="1"/>
  <c r="U53" i="1"/>
  <c r="T53" i="1"/>
  <c r="Q53" i="1"/>
  <c r="O53" i="1"/>
  <c r="N53" i="1"/>
  <c r="M53" i="1"/>
  <c r="G53" i="1"/>
  <c r="E53" i="1"/>
  <c r="C53" i="1"/>
  <c r="B53" i="1"/>
  <c r="A53" i="1"/>
  <c r="AC52" i="1"/>
  <c r="AA52" i="1" a="1"/>
  <c r="AA52" i="1" s="1"/>
  <c r="W52" i="1"/>
  <c r="X52" i="1" s="1" a="1"/>
  <c r="X52" i="1" s="1"/>
  <c r="V52" i="1"/>
  <c r="U52" i="1"/>
  <c r="T52" i="1"/>
  <c r="Q52" i="1"/>
  <c r="O52" i="1"/>
  <c r="N52" i="1"/>
  <c r="M52" i="1"/>
  <c r="G52" i="1"/>
  <c r="E52" i="1"/>
  <c r="C52" i="1"/>
  <c r="B52" i="1"/>
  <c r="A52" i="1"/>
  <c r="S52" i="1" s="1"/>
  <c r="AC51" i="1"/>
  <c r="AA51" i="1" a="1"/>
  <c r="AA51" i="1" s="1"/>
  <c r="W51" i="1"/>
  <c r="X51" i="1" s="1" a="1"/>
  <c r="X51" i="1" s="1"/>
  <c r="V51" i="1"/>
  <c r="U51" i="1"/>
  <c r="T51" i="1"/>
  <c r="Q51" i="1"/>
  <c r="O51" i="1"/>
  <c r="N51" i="1"/>
  <c r="M51" i="1"/>
  <c r="G51" i="1"/>
  <c r="E51" i="1"/>
  <c r="C51" i="1"/>
  <c r="B51" i="1"/>
  <c r="A51" i="1"/>
  <c r="AC50" i="1"/>
  <c r="AA50" i="1" a="1"/>
  <c r="AA50" i="1" s="1"/>
  <c r="W50" i="1"/>
  <c r="X50" i="1" s="1" a="1"/>
  <c r="X50" i="1" s="1"/>
  <c r="V50" i="1"/>
  <c r="U50" i="1"/>
  <c r="T50" i="1"/>
  <c r="Q50" i="1"/>
  <c r="O50" i="1"/>
  <c r="N50" i="1"/>
  <c r="M50" i="1"/>
  <c r="G50" i="1"/>
  <c r="E50" i="1"/>
  <c r="C50" i="1"/>
  <c r="B50" i="1"/>
  <c r="A50" i="1"/>
  <c r="AG50" i="1" s="1" a="1"/>
  <c r="AG50" i="1" s="1"/>
  <c r="AF50" i="1" s="1" a="1"/>
  <c r="AF50" i="1" s="1"/>
  <c r="AH50" i="1" s="1" a="1"/>
  <c r="AH50" i="1" s="1"/>
  <c r="AC49" i="1"/>
  <c r="AA49" i="1" a="1"/>
  <c r="AA49" i="1" s="1"/>
  <c r="W49" i="1"/>
  <c r="X49" i="1" s="1" a="1"/>
  <c r="X49" i="1" s="1"/>
  <c r="V49" i="1"/>
  <c r="U49" i="1"/>
  <c r="T49" i="1"/>
  <c r="Q49" i="1"/>
  <c r="O49" i="1"/>
  <c r="N49" i="1"/>
  <c r="M49" i="1"/>
  <c r="G49" i="1"/>
  <c r="E49" i="1"/>
  <c r="C49" i="1"/>
  <c r="B49" i="1"/>
  <c r="A49" i="1"/>
  <c r="AC48" i="1"/>
  <c r="AA48" i="1" a="1"/>
  <c r="AA48" i="1" s="1"/>
  <c r="W48" i="1"/>
  <c r="X48" i="1" s="1" a="1"/>
  <c r="X48" i="1" s="1"/>
  <c r="V48" i="1"/>
  <c r="U48" i="1"/>
  <c r="T48" i="1"/>
  <c r="Q48" i="1"/>
  <c r="O48" i="1"/>
  <c r="AD48" i="1" s="1"/>
  <c r="N48" i="1"/>
  <c r="M48" i="1"/>
  <c r="J48" i="1"/>
  <c r="G48" i="1"/>
  <c r="E48" i="1"/>
  <c r="C48" i="1"/>
  <c r="B48" i="1"/>
  <c r="A48" i="1"/>
  <c r="H48" i="1" s="1"/>
  <c r="AC47" i="1"/>
  <c r="AA47" i="1" a="1"/>
  <c r="AA47" i="1" s="1"/>
  <c r="W47" i="1"/>
  <c r="X47" i="1" s="1" a="1"/>
  <c r="X47" i="1" s="1"/>
  <c r="V47" i="1"/>
  <c r="U47" i="1"/>
  <c r="T47" i="1"/>
  <c r="Q47" i="1"/>
  <c r="O47" i="1"/>
  <c r="N47" i="1"/>
  <c r="M47" i="1"/>
  <c r="G47" i="1"/>
  <c r="E47" i="1"/>
  <c r="C47" i="1"/>
  <c r="A47" i="1"/>
  <c r="AC46" i="1"/>
  <c r="AA46" i="1" a="1"/>
  <c r="AA46" i="1" s="1"/>
  <c r="W46" i="1"/>
  <c r="X46" i="1" s="1" a="1"/>
  <c r="X46" i="1" s="1"/>
  <c r="V46" i="1"/>
  <c r="U46" i="1"/>
  <c r="T46" i="1"/>
  <c r="Q46" i="1"/>
  <c r="O46" i="1"/>
  <c r="AD46" i="1" s="1"/>
  <c r="N46" i="1"/>
  <c r="M46" i="1"/>
  <c r="G46" i="1"/>
  <c r="E46" i="1"/>
  <c r="C46" i="1"/>
  <c r="A46" i="1"/>
  <c r="R46" i="1" s="1"/>
  <c r="AC45" i="1"/>
  <c r="AA45" i="1" a="1"/>
  <c r="AA45" i="1" s="1"/>
  <c r="W45" i="1"/>
  <c r="X45" i="1" s="1" a="1"/>
  <c r="X45" i="1" s="1"/>
  <c r="V45" i="1"/>
  <c r="U45" i="1"/>
  <c r="T45" i="1"/>
  <c r="Q45" i="1"/>
  <c r="O45" i="1"/>
  <c r="N45" i="1"/>
  <c r="M45" i="1"/>
  <c r="G45" i="1"/>
  <c r="E45" i="1"/>
  <c r="C45" i="1"/>
  <c r="B45" i="1"/>
  <c r="A45" i="1"/>
  <c r="S45" i="1" s="1"/>
  <c r="AC44" i="1"/>
  <c r="AA44" i="1" a="1"/>
  <c r="AA44" i="1" s="1"/>
  <c r="W44" i="1"/>
  <c r="X44" i="1" s="1" a="1"/>
  <c r="X44" i="1" s="1"/>
  <c r="V44" i="1"/>
  <c r="U44" i="1"/>
  <c r="T44" i="1"/>
  <c r="Q44" i="1"/>
  <c r="O44" i="1"/>
  <c r="N44" i="1"/>
  <c r="M44" i="1"/>
  <c r="G44" i="1"/>
  <c r="E44" i="1"/>
  <c r="C44" i="1"/>
  <c r="B44" i="1"/>
  <c r="A44" i="1"/>
  <c r="H44" i="1" s="1"/>
  <c r="AC43" i="1"/>
  <c r="AA43" i="1" a="1"/>
  <c r="AA43" i="1" s="1"/>
  <c r="W43" i="1"/>
  <c r="X43" i="1" s="1" a="1"/>
  <c r="X43" i="1" s="1"/>
  <c r="V43" i="1"/>
  <c r="U43" i="1"/>
  <c r="T43" i="1"/>
  <c r="Q43" i="1"/>
  <c r="O43" i="1"/>
  <c r="N43" i="1"/>
  <c r="M43" i="1"/>
  <c r="G43" i="1"/>
  <c r="E43" i="1"/>
  <c r="C43" i="1"/>
  <c r="B43" i="1"/>
  <c r="A43" i="1"/>
  <c r="P43" i="1" s="1"/>
  <c r="AC42" i="1"/>
  <c r="AA42" i="1" a="1"/>
  <c r="AA42" i="1" s="1"/>
  <c r="W42" i="1"/>
  <c r="X42" i="1" s="1" a="1"/>
  <c r="X42" i="1" s="1"/>
  <c r="V42" i="1"/>
  <c r="U42" i="1"/>
  <c r="T42" i="1"/>
  <c r="Q42" i="1"/>
  <c r="P42" i="1"/>
  <c r="O42" i="1"/>
  <c r="N42" i="1"/>
  <c r="M42" i="1"/>
  <c r="G42" i="1"/>
  <c r="E42" i="1"/>
  <c r="C42" i="1"/>
  <c r="A42" i="1"/>
  <c r="AG42" i="1" s="1" a="1"/>
  <c r="AG42" i="1" s="1"/>
  <c r="AF42" i="1" s="1" a="1"/>
  <c r="AF42" i="1" s="1"/>
  <c r="AH42" i="1" s="1" a="1"/>
  <c r="AH42" i="1" s="1"/>
  <c r="AC41" i="1"/>
  <c r="AA41" i="1" a="1"/>
  <c r="AA41" i="1" s="1"/>
  <c r="W41" i="1"/>
  <c r="X41" i="1" s="1" a="1"/>
  <c r="X41" i="1" s="1"/>
  <c r="V41" i="1"/>
  <c r="U41" i="1"/>
  <c r="T41" i="1"/>
  <c r="Q41" i="1"/>
  <c r="O41" i="1"/>
  <c r="AD41" i="1" s="1"/>
  <c r="N41" i="1"/>
  <c r="M41" i="1"/>
  <c r="G41" i="1"/>
  <c r="E41" i="1"/>
  <c r="C41" i="1"/>
  <c r="B41" i="1"/>
  <c r="A41" i="1"/>
  <c r="S41" i="1" s="1"/>
  <c r="AC40" i="1"/>
  <c r="AA40" i="1" a="1"/>
  <c r="AA40" i="1" s="1"/>
  <c r="W40" i="1"/>
  <c r="X40" i="1" s="1" a="1"/>
  <c r="X40" i="1" s="1"/>
  <c r="V40" i="1"/>
  <c r="U40" i="1"/>
  <c r="T40" i="1"/>
  <c r="Q40" i="1"/>
  <c r="O40" i="1"/>
  <c r="N40" i="1"/>
  <c r="M40" i="1"/>
  <c r="G40" i="1"/>
  <c r="E40" i="1"/>
  <c r="C40" i="1"/>
  <c r="B40" i="1"/>
  <c r="A40" i="1"/>
  <c r="S40" i="1" s="1"/>
  <c r="AC39" i="1"/>
  <c r="AA39" i="1" a="1"/>
  <c r="AA39" i="1" s="1"/>
  <c r="W39" i="1"/>
  <c r="X39" i="1" s="1" a="1"/>
  <c r="X39" i="1" s="1"/>
  <c r="V39" i="1"/>
  <c r="U39" i="1"/>
  <c r="T39" i="1"/>
  <c r="Q39" i="1"/>
  <c r="O39" i="1"/>
  <c r="N39" i="1"/>
  <c r="M39" i="1"/>
  <c r="G39" i="1"/>
  <c r="E39" i="1"/>
  <c r="C39" i="1"/>
  <c r="B39" i="1"/>
  <c r="A39" i="1"/>
  <c r="J39" i="1" s="1"/>
  <c r="AC38" i="1"/>
  <c r="AA38" i="1" a="1"/>
  <c r="AA38" i="1" s="1"/>
  <c r="W38" i="1"/>
  <c r="X38" i="1" s="1" a="1"/>
  <c r="X38" i="1" s="1"/>
  <c r="V38" i="1"/>
  <c r="U38" i="1"/>
  <c r="T38" i="1"/>
  <c r="Q38" i="1"/>
  <c r="O38" i="1"/>
  <c r="N38" i="1"/>
  <c r="M38" i="1"/>
  <c r="G38" i="1"/>
  <c r="E38" i="1"/>
  <c r="C38" i="1"/>
  <c r="B38" i="1"/>
  <c r="A38" i="1"/>
  <c r="AC37" i="1"/>
  <c r="AA37" i="1" a="1"/>
  <c r="AA37" i="1" s="1"/>
  <c r="W37" i="1"/>
  <c r="X37" i="1" s="1" a="1"/>
  <c r="X37" i="1" s="1"/>
  <c r="V37" i="1"/>
  <c r="U37" i="1"/>
  <c r="T37" i="1"/>
  <c r="Q37" i="1"/>
  <c r="O37" i="1"/>
  <c r="N37" i="1"/>
  <c r="M37" i="1"/>
  <c r="G37" i="1"/>
  <c r="E37" i="1"/>
  <c r="C37" i="1"/>
  <c r="B37" i="1"/>
  <c r="A37" i="1"/>
  <c r="S37" i="1" s="1"/>
  <c r="AC36" i="1"/>
  <c r="AA36" i="1" a="1"/>
  <c r="AA36" i="1" s="1"/>
  <c r="W36" i="1"/>
  <c r="X36" i="1" s="1" a="1"/>
  <c r="X36" i="1" s="1"/>
  <c r="V36" i="1"/>
  <c r="U36" i="1"/>
  <c r="T36" i="1"/>
  <c r="R36" i="1"/>
  <c r="Q36" i="1"/>
  <c r="O36" i="1"/>
  <c r="N36" i="1"/>
  <c r="M36" i="1"/>
  <c r="H36" i="1"/>
  <c r="G36" i="1"/>
  <c r="E36" i="1"/>
  <c r="C36" i="1"/>
  <c r="A36" i="1"/>
  <c r="J36" i="1" s="1"/>
  <c r="AC35" i="1"/>
  <c r="AA35" i="1" a="1"/>
  <c r="AA35" i="1" s="1"/>
  <c r="W35" i="1"/>
  <c r="X35" i="1" s="1" a="1"/>
  <c r="X35" i="1" s="1"/>
  <c r="V35" i="1"/>
  <c r="U35" i="1"/>
  <c r="T35" i="1"/>
  <c r="Q35" i="1"/>
  <c r="O35" i="1"/>
  <c r="N35" i="1"/>
  <c r="M35" i="1"/>
  <c r="G35" i="1"/>
  <c r="E35" i="1"/>
  <c r="C35" i="1"/>
  <c r="B35" i="1"/>
  <c r="A35" i="1"/>
  <c r="J35" i="1" s="1"/>
  <c r="AC34" i="1"/>
  <c r="AA34" i="1" a="1"/>
  <c r="AA34" i="1" s="1"/>
  <c r="W34" i="1"/>
  <c r="X34" i="1" s="1" a="1"/>
  <c r="X34" i="1" s="1"/>
  <c r="V34" i="1"/>
  <c r="U34" i="1"/>
  <c r="T34" i="1"/>
  <c r="Q34" i="1"/>
  <c r="O34" i="1"/>
  <c r="N34" i="1"/>
  <c r="M34" i="1"/>
  <c r="G34" i="1"/>
  <c r="E34" i="1"/>
  <c r="C34" i="1"/>
  <c r="B34" i="1"/>
  <c r="A34" i="1"/>
  <c r="R34" i="1" s="1"/>
  <c r="AC33" i="1"/>
  <c r="AA33" i="1" a="1"/>
  <c r="AA33" i="1" s="1"/>
  <c r="W33" i="1"/>
  <c r="X33" i="1" s="1" a="1"/>
  <c r="X33" i="1" s="1"/>
  <c r="V33" i="1"/>
  <c r="U33" i="1"/>
  <c r="T33" i="1"/>
  <c r="Q33" i="1"/>
  <c r="O33" i="1"/>
  <c r="AD33" i="1" s="1"/>
  <c r="N33" i="1"/>
  <c r="M33" i="1"/>
  <c r="G33" i="1"/>
  <c r="E33" i="1"/>
  <c r="C33" i="1"/>
  <c r="B33" i="1"/>
  <c r="A33" i="1"/>
  <c r="AC32" i="1"/>
  <c r="AA32" i="1" a="1"/>
  <c r="AA32" i="1" s="1"/>
  <c r="W32" i="1"/>
  <c r="X32" i="1" s="1" a="1"/>
  <c r="X32" i="1" s="1"/>
  <c r="V32" i="1"/>
  <c r="U32" i="1"/>
  <c r="T32" i="1"/>
  <c r="Q32" i="1"/>
  <c r="O32" i="1"/>
  <c r="AD32" i="1" s="1"/>
  <c r="N32" i="1"/>
  <c r="M32" i="1"/>
  <c r="G32" i="1"/>
  <c r="E32" i="1"/>
  <c r="C32" i="1"/>
  <c r="B32" i="1"/>
  <c r="A32" i="1"/>
  <c r="R32" i="1" s="1"/>
  <c r="AC31" i="1"/>
  <c r="AA31" i="1" a="1"/>
  <c r="AA31" i="1" s="1"/>
  <c r="W31" i="1"/>
  <c r="X31" i="1" s="1" a="1"/>
  <c r="X31" i="1" s="1"/>
  <c r="V31" i="1"/>
  <c r="U31" i="1"/>
  <c r="T31" i="1"/>
  <c r="Q31" i="1"/>
  <c r="O31" i="1"/>
  <c r="N31" i="1"/>
  <c r="M31" i="1"/>
  <c r="G31" i="1"/>
  <c r="E31" i="1"/>
  <c r="C31" i="1"/>
  <c r="B31" i="1"/>
  <c r="A31" i="1"/>
  <c r="J31" i="1" s="1"/>
  <c r="AC30" i="1"/>
  <c r="AA30" i="1" a="1"/>
  <c r="AA30" i="1" s="1"/>
  <c r="W30" i="1"/>
  <c r="X30" i="1" s="1" a="1"/>
  <c r="X30" i="1" s="1"/>
  <c r="V30" i="1"/>
  <c r="U30" i="1"/>
  <c r="T30" i="1"/>
  <c r="Q30" i="1"/>
  <c r="O30" i="1"/>
  <c r="N30" i="1"/>
  <c r="M30" i="1"/>
  <c r="G30" i="1"/>
  <c r="E30" i="1"/>
  <c r="C30" i="1"/>
  <c r="B30" i="1"/>
  <c r="A30" i="1"/>
  <c r="S30" i="1" s="1"/>
  <c r="AC29" i="1"/>
  <c r="AA29" i="1" a="1"/>
  <c r="AA29" i="1" s="1"/>
  <c r="W29" i="1"/>
  <c r="X29" i="1" s="1" a="1"/>
  <c r="X29" i="1" s="1"/>
  <c r="V29" i="1"/>
  <c r="U29" i="1"/>
  <c r="T29" i="1"/>
  <c r="Q29" i="1"/>
  <c r="O29" i="1"/>
  <c r="N29" i="1"/>
  <c r="M29" i="1"/>
  <c r="G29" i="1"/>
  <c r="E29" i="1"/>
  <c r="C29" i="1"/>
  <c r="B29" i="1"/>
  <c r="A29" i="1"/>
  <c r="P29" i="1" s="1"/>
  <c r="AC28" i="1"/>
  <c r="AA28" i="1" a="1"/>
  <c r="AA28" i="1" s="1"/>
  <c r="W28" i="1"/>
  <c r="X28" i="1" s="1" a="1"/>
  <c r="X28" i="1" s="1"/>
  <c r="V28" i="1"/>
  <c r="U28" i="1"/>
  <c r="T28" i="1"/>
  <c r="Q28" i="1"/>
  <c r="O28" i="1"/>
  <c r="N28" i="1"/>
  <c r="M28" i="1"/>
  <c r="G28" i="1"/>
  <c r="E28" i="1"/>
  <c r="C28" i="1"/>
  <c r="B28" i="1"/>
  <c r="A28" i="1"/>
  <c r="H28" i="1" s="1"/>
  <c r="AC27" i="1"/>
  <c r="AA27" i="1" a="1"/>
  <c r="AA27" i="1" s="1"/>
  <c r="W27" i="1"/>
  <c r="X27" i="1" s="1" a="1"/>
  <c r="X27" i="1" s="1"/>
  <c r="V27" i="1"/>
  <c r="U27" i="1"/>
  <c r="T27" i="1"/>
  <c r="Q27" i="1"/>
  <c r="O27" i="1"/>
  <c r="AD27" i="1" s="1"/>
  <c r="N27" i="1"/>
  <c r="M27" i="1"/>
  <c r="G27" i="1"/>
  <c r="E27" i="1"/>
  <c r="C27" i="1"/>
  <c r="B27" i="1"/>
  <c r="A27" i="1"/>
  <c r="S27" i="1" s="1"/>
  <c r="AC26" i="1"/>
  <c r="AA26" i="1" a="1"/>
  <c r="AA26" i="1" s="1"/>
  <c r="W26" i="1"/>
  <c r="X26" i="1" s="1" a="1"/>
  <c r="X26" i="1" s="1"/>
  <c r="V26" i="1"/>
  <c r="U26" i="1"/>
  <c r="T26" i="1"/>
  <c r="Q26" i="1"/>
  <c r="O26" i="1"/>
  <c r="N26" i="1"/>
  <c r="M26" i="1"/>
  <c r="G26" i="1"/>
  <c r="C26" i="1"/>
  <c r="A26" i="1"/>
  <c r="J26" i="1" s="1"/>
  <c r="AC25" i="1"/>
  <c r="AA25" i="1" a="1"/>
  <c r="AA25" i="1" s="1"/>
  <c r="W25" i="1"/>
  <c r="X25" i="1" s="1" a="1"/>
  <c r="X25" i="1" s="1"/>
  <c r="V25" i="1"/>
  <c r="U25" i="1"/>
  <c r="T25" i="1"/>
  <c r="Q25" i="1"/>
  <c r="O25" i="1"/>
  <c r="N25" i="1"/>
  <c r="M25" i="1"/>
  <c r="G25" i="1"/>
  <c r="E25" i="1"/>
  <c r="C25" i="1"/>
  <c r="A25" i="1"/>
  <c r="H25" i="1" s="1"/>
  <c r="AC24" i="1"/>
  <c r="AA24" i="1" a="1"/>
  <c r="AA24" i="1" s="1"/>
  <c r="W24" i="1"/>
  <c r="X24" i="1" s="1" a="1"/>
  <c r="X24" i="1" s="1"/>
  <c r="V24" i="1"/>
  <c r="U24" i="1"/>
  <c r="T24" i="1"/>
  <c r="Q24" i="1"/>
  <c r="O24" i="1"/>
  <c r="N24" i="1"/>
  <c r="M24" i="1"/>
  <c r="G24" i="1"/>
  <c r="E24" i="1"/>
  <c r="C24" i="1"/>
  <c r="A24" i="1"/>
  <c r="AC23" i="1"/>
  <c r="AA23" i="1" a="1"/>
  <c r="AA23" i="1" s="1"/>
  <c r="W23" i="1"/>
  <c r="X23" i="1" s="1" a="1"/>
  <c r="X23" i="1" s="1"/>
  <c r="V23" i="1"/>
  <c r="U23" i="1"/>
  <c r="T23" i="1"/>
  <c r="Q23" i="1"/>
  <c r="O23" i="1"/>
  <c r="N23" i="1"/>
  <c r="M23" i="1"/>
  <c r="G23" i="1"/>
  <c r="E23" i="1"/>
  <c r="C23" i="1"/>
  <c r="A23" i="1"/>
  <c r="J23" i="1" s="1"/>
  <c r="AC22" i="1"/>
  <c r="AA22" i="1" a="1"/>
  <c r="AA22" i="1" s="1"/>
  <c r="W22" i="1"/>
  <c r="X22" i="1" s="1" a="1"/>
  <c r="X22" i="1" s="1"/>
  <c r="V22" i="1"/>
  <c r="U22" i="1"/>
  <c r="T22" i="1"/>
  <c r="Q22" i="1"/>
  <c r="O22" i="1"/>
  <c r="N22" i="1"/>
  <c r="M22" i="1"/>
  <c r="G22" i="1"/>
  <c r="E22" i="1"/>
  <c r="C22" i="1"/>
  <c r="A22" i="1"/>
  <c r="R22" i="1" s="1"/>
  <c r="AC21" i="1"/>
  <c r="AA21" i="1" a="1"/>
  <c r="AA21" i="1" s="1"/>
  <c r="W21" i="1"/>
  <c r="X21" i="1" s="1" a="1"/>
  <c r="X21" i="1" s="1"/>
  <c r="V21" i="1"/>
  <c r="U21" i="1"/>
  <c r="T21" i="1"/>
  <c r="Q21" i="1"/>
  <c r="O21" i="1"/>
  <c r="N21" i="1"/>
  <c r="M21" i="1"/>
  <c r="G21" i="1"/>
  <c r="E21" i="1"/>
  <c r="C21" i="1"/>
  <c r="B21" i="1"/>
  <c r="A21" i="1"/>
  <c r="S21" i="1" s="1"/>
  <c r="AC20" i="1"/>
  <c r="AA20" i="1" a="1"/>
  <c r="AA20" i="1" s="1"/>
  <c r="W20" i="1"/>
  <c r="X20" i="1" s="1" a="1"/>
  <c r="X20" i="1" s="1"/>
  <c r="V20" i="1"/>
  <c r="U20" i="1"/>
  <c r="T20" i="1"/>
  <c r="Q20" i="1"/>
  <c r="O20" i="1"/>
  <c r="N20" i="1"/>
  <c r="M20" i="1"/>
  <c r="G20" i="1"/>
  <c r="E20" i="1"/>
  <c r="C20" i="1"/>
  <c r="B20" i="1"/>
  <c r="A20" i="1"/>
  <c r="J20" i="1" s="1"/>
  <c r="AG19" i="1" a="1"/>
  <c r="AG19" i="1" s="1"/>
  <c r="AF19" i="1" s="1" a="1"/>
  <c r="AF19" i="1" s="1"/>
  <c r="AH19" i="1" s="1" a="1"/>
  <c r="AH19" i="1" s="1"/>
  <c r="AC19" i="1"/>
  <c r="AA19" i="1" a="1"/>
  <c r="AA19" i="1" s="1"/>
  <c r="W19" i="1"/>
  <c r="X19" i="1" s="1" a="1"/>
  <c r="X19" i="1" s="1"/>
  <c r="V19" i="1"/>
  <c r="U19" i="1"/>
  <c r="T19" i="1"/>
  <c r="Q19" i="1"/>
  <c r="O19" i="1"/>
  <c r="N19" i="1"/>
  <c r="M19" i="1"/>
  <c r="G19" i="1"/>
  <c r="E19" i="1"/>
  <c r="C19" i="1"/>
  <c r="B19" i="1"/>
  <c r="A19" i="1"/>
  <c r="AC18" i="1"/>
  <c r="AA18" i="1" a="1"/>
  <c r="AA18" i="1" s="1"/>
  <c r="W18" i="1"/>
  <c r="X18" i="1" s="1" a="1"/>
  <c r="X18" i="1" s="1"/>
  <c r="V18" i="1"/>
  <c r="U18" i="1"/>
  <c r="T18" i="1"/>
  <c r="Q18" i="1"/>
  <c r="O18" i="1"/>
  <c r="N18" i="1"/>
  <c r="M18" i="1"/>
  <c r="G18" i="1"/>
  <c r="E18" i="1"/>
  <c r="C18" i="1"/>
  <c r="A18" i="1"/>
  <c r="R18" i="1" s="1"/>
  <c r="AC17" i="1"/>
  <c r="AA17" i="1" a="1"/>
  <c r="AA17" i="1" s="1"/>
  <c r="W17" i="1"/>
  <c r="X17" i="1" s="1" a="1"/>
  <c r="X17" i="1" s="1"/>
  <c r="V17" i="1"/>
  <c r="U17" i="1"/>
  <c r="T17" i="1"/>
  <c r="Q17" i="1"/>
  <c r="O17" i="1"/>
  <c r="N17" i="1"/>
  <c r="M17" i="1"/>
  <c r="G17" i="1"/>
  <c r="E17" i="1"/>
  <c r="C17" i="1"/>
  <c r="B17" i="1"/>
  <c r="A17" i="1"/>
  <c r="S17" i="1" s="1"/>
  <c r="AC16" i="1"/>
  <c r="AA16" i="1" a="1"/>
  <c r="AA16" i="1" s="1"/>
  <c r="W16" i="1"/>
  <c r="X16" i="1" s="1" a="1"/>
  <c r="X16" i="1" s="1"/>
  <c r="V16" i="1"/>
  <c r="U16" i="1"/>
  <c r="T16" i="1"/>
  <c r="Q16" i="1"/>
  <c r="O16" i="1"/>
  <c r="N16" i="1"/>
  <c r="M16" i="1"/>
  <c r="G16" i="1"/>
  <c r="E16" i="1"/>
  <c r="C16" i="1"/>
  <c r="B16" i="1"/>
  <c r="A16" i="1"/>
  <c r="AC15" i="1"/>
  <c r="AA15" i="1" a="1"/>
  <c r="AA15" i="1" s="1"/>
  <c r="W15" i="1"/>
  <c r="X15" i="1" s="1" a="1"/>
  <c r="X15" i="1" s="1"/>
  <c r="V15" i="1"/>
  <c r="U15" i="1"/>
  <c r="T15" i="1"/>
  <c r="Q15" i="1"/>
  <c r="O15" i="1"/>
  <c r="N15" i="1"/>
  <c r="M15" i="1"/>
  <c r="G15" i="1"/>
  <c r="E15" i="1"/>
  <c r="C15" i="1"/>
  <c r="A15" i="1"/>
  <c r="AC14" i="1"/>
  <c r="AA14" i="1" a="1"/>
  <c r="AA14" i="1" s="1"/>
  <c r="W14" i="1"/>
  <c r="X14" i="1" s="1" a="1"/>
  <c r="X14" i="1" s="1"/>
  <c r="V14" i="1"/>
  <c r="U14" i="1"/>
  <c r="T14" i="1"/>
  <c r="Q14" i="1"/>
  <c r="O14" i="1"/>
  <c r="N14" i="1"/>
  <c r="M14" i="1"/>
  <c r="G14" i="1"/>
  <c r="E14" i="1"/>
  <c r="C14" i="1"/>
  <c r="A14" i="1"/>
  <c r="AC13" i="1"/>
  <c r="AA13" i="1" a="1"/>
  <c r="AA13" i="1" s="1"/>
  <c r="W13" i="1"/>
  <c r="X13" i="1" s="1" a="1"/>
  <c r="X13" i="1" s="1"/>
  <c r="V13" i="1"/>
  <c r="U13" i="1"/>
  <c r="T13" i="1"/>
  <c r="Q13" i="1"/>
  <c r="O13" i="1"/>
  <c r="N13" i="1"/>
  <c r="M13" i="1"/>
  <c r="G13" i="1"/>
  <c r="E13" i="1"/>
  <c r="C13" i="1"/>
  <c r="B13" i="1"/>
  <c r="A13" i="1"/>
  <c r="AC12" i="1"/>
  <c r="AA12" i="1" a="1"/>
  <c r="AA12" i="1" s="1"/>
  <c r="W12" i="1"/>
  <c r="X12" i="1" s="1" a="1"/>
  <c r="X12" i="1" s="1"/>
  <c r="V12" i="1"/>
  <c r="U12" i="1"/>
  <c r="T12" i="1"/>
  <c r="Q12" i="1"/>
  <c r="O12" i="1"/>
  <c r="N12" i="1"/>
  <c r="M12" i="1"/>
  <c r="G12" i="1"/>
  <c r="E12" i="1"/>
  <c r="C12" i="1"/>
  <c r="A12" i="1"/>
  <c r="J12" i="1" s="1"/>
  <c r="AC11" i="1"/>
  <c r="AA11" i="1" a="1"/>
  <c r="AA11" i="1" s="1"/>
  <c r="W11" i="1"/>
  <c r="X11" i="1" s="1" a="1"/>
  <c r="X11" i="1" s="1"/>
  <c r="V11" i="1"/>
  <c r="U11" i="1"/>
  <c r="T11" i="1"/>
  <c r="Q11" i="1"/>
  <c r="O11" i="1"/>
  <c r="N11" i="1"/>
  <c r="M11" i="1"/>
  <c r="G11" i="1"/>
  <c r="E11" i="1"/>
  <c r="C11" i="1"/>
  <c r="B11" i="1"/>
  <c r="A11" i="1"/>
  <c r="H11" i="1" s="1"/>
  <c r="AC10" i="1"/>
  <c r="AA10" i="1" a="1"/>
  <c r="AA10" i="1" s="1"/>
  <c r="W10" i="1"/>
  <c r="X10" i="1" s="1" a="1"/>
  <c r="X10" i="1" s="1"/>
  <c r="V10" i="1"/>
  <c r="U10" i="1"/>
  <c r="T10" i="1"/>
  <c r="Q10" i="1"/>
  <c r="O10" i="1"/>
  <c r="N10" i="1"/>
  <c r="M10" i="1"/>
  <c r="G10" i="1"/>
  <c r="E10" i="1"/>
  <c r="C10" i="1"/>
  <c r="B10" i="1"/>
  <c r="A10" i="1"/>
  <c r="H10" i="1" s="1"/>
  <c r="AC9" i="1"/>
  <c r="AA9" i="1" a="1"/>
  <c r="AA9" i="1" s="1"/>
  <c r="W9" i="1"/>
  <c r="X9" i="1" s="1" a="1"/>
  <c r="X9" i="1" s="1"/>
  <c r="V9" i="1"/>
  <c r="U9" i="1"/>
  <c r="T9" i="1"/>
  <c r="Q9" i="1"/>
  <c r="O9" i="1"/>
  <c r="AD9" i="1" s="1"/>
  <c r="N9" i="1"/>
  <c r="M9" i="1"/>
  <c r="H9" i="1"/>
  <c r="G9" i="1"/>
  <c r="E9" i="1"/>
  <c r="C9" i="1"/>
  <c r="B9" i="1"/>
  <c r="A9" i="1"/>
  <c r="S9" i="1" s="1"/>
  <c r="AC8" i="1"/>
  <c r="AA8" i="1" a="1"/>
  <c r="AA8" i="1" s="1"/>
  <c r="W8" i="1"/>
  <c r="X8" i="1" s="1" a="1"/>
  <c r="X8" i="1" s="1"/>
  <c r="V8" i="1"/>
  <c r="U8" i="1"/>
  <c r="T8" i="1"/>
  <c r="Q8" i="1"/>
  <c r="O8" i="1"/>
  <c r="N8" i="1"/>
  <c r="M8" i="1"/>
  <c r="G8" i="1"/>
  <c r="E8" i="1"/>
  <c r="C8" i="1"/>
  <c r="B8" i="1"/>
  <c r="A8" i="1"/>
  <c r="P8" i="1" s="1"/>
  <c r="AC7" i="1"/>
  <c r="AA7" i="1" a="1"/>
  <c r="AA7" i="1" s="1"/>
  <c r="W7" i="1"/>
  <c r="X7" i="1" s="1" a="1"/>
  <c r="X7" i="1" s="1"/>
  <c r="V7" i="1"/>
  <c r="U7" i="1"/>
  <c r="T7" i="1"/>
  <c r="Q7" i="1"/>
  <c r="O7" i="1"/>
  <c r="N7" i="1"/>
  <c r="M7" i="1"/>
  <c r="J7" i="1"/>
  <c r="G7" i="1"/>
  <c r="E7" i="1"/>
  <c r="C7" i="1"/>
  <c r="B7" i="1"/>
  <c r="A7" i="1"/>
  <c r="S7" i="1" s="1"/>
  <c r="AC6" i="1"/>
  <c r="AA6" i="1" a="1"/>
  <c r="AA6" i="1" s="1"/>
  <c r="W6" i="1"/>
  <c r="X6" i="1" s="1" a="1"/>
  <c r="X6" i="1" s="1"/>
  <c r="V6" i="1"/>
  <c r="U6" i="1"/>
  <c r="T6" i="1"/>
  <c r="Q6" i="1"/>
  <c r="O6" i="1"/>
  <c r="N6" i="1"/>
  <c r="M6" i="1"/>
  <c r="G6" i="1"/>
  <c r="E6" i="1"/>
  <c r="C6" i="1"/>
  <c r="B6" i="1"/>
  <c r="A6" i="1"/>
  <c r="S6" i="1" s="1"/>
  <c r="AC5" i="1"/>
  <c r="AA5" i="1" a="1"/>
  <c r="AA5" i="1" s="1"/>
  <c r="W5" i="1"/>
  <c r="X5" i="1" s="1" a="1"/>
  <c r="X5" i="1" s="1"/>
  <c r="V5" i="1"/>
  <c r="U5" i="1"/>
  <c r="T5" i="1"/>
  <c r="Q5" i="1"/>
  <c r="O5" i="1"/>
  <c r="N5" i="1"/>
  <c r="M5" i="1"/>
  <c r="AD5" i="1" s="1"/>
  <c r="G5" i="1"/>
  <c r="E5" i="1"/>
  <c r="C5" i="1"/>
  <c r="B5" i="1"/>
  <c r="A5" i="1"/>
  <c r="S5" i="1" s="1"/>
  <c r="AC4" i="1"/>
  <c r="AA4" i="1" a="1"/>
  <c r="AA4" i="1" s="1"/>
  <c r="W4" i="1"/>
  <c r="X4" i="1" s="1" a="1"/>
  <c r="X4" i="1" s="1"/>
  <c r="V4" i="1"/>
  <c r="U4" i="1"/>
  <c r="T4" i="1"/>
  <c r="Q4" i="1"/>
  <c r="O4" i="1"/>
  <c r="N4" i="1"/>
  <c r="M4" i="1"/>
  <c r="AD4" i="1" s="1"/>
  <c r="G4" i="1"/>
  <c r="E4" i="1"/>
  <c r="C4" i="1"/>
  <c r="B4" i="1"/>
  <c r="A4" i="1"/>
  <c r="S4" i="1" s="1"/>
  <c r="AC3" i="1"/>
  <c r="AA3" i="1" a="1"/>
  <c r="AA3" i="1" s="1"/>
  <c r="W3" i="1"/>
  <c r="X3" i="1" s="1" a="1"/>
  <c r="X3" i="1" s="1"/>
  <c r="V3" i="1"/>
  <c r="U3" i="1"/>
  <c r="T3" i="1"/>
  <c r="Q3" i="1"/>
  <c r="O3" i="1"/>
  <c r="N3" i="1"/>
  <c r="M3" i="1"/>
  <c r="G3" i="1"/>
  <c r="E3" i="1"/>
  <c r="C3" i="1"/>
  <c r="B3" i="1"/>
  <c r="A3" i="1"/>
  <c r="R3" i="1" s="1"/>
  <c r="AC2" i="1"/>
  <c r="AA2" i="1" a="1"/>
  <c r="AA2" i="1" s="1"/>
  <c r="W2" i="1"/>
  <c r="X2" i="1" s="1" a="1"/>
  <c r="X2" i="1" s="1"/>
  <c r="V2" i="1"/>
  <c r="U2" i="1"/>
  <c r="T2" i="1"/>
  <c r="Q2" i="1"/>
  <c r="O2" i="1"/>
  <c r="N2" i="1"/>
  <c r="M2" i="1"/>
  <c r="H2" i="1"/>
  <c r="G2" i="1"/>
  <c r="E2" i="1"/>
  <c r="C2" i="1"/>
  <c r="B2" i="1"/>
  <c r="A2" i="1"/>
  <c r="S2" i="1" s="1"/>
  <c r="R39" i="1" l="1"/>
  <c r="AD94" i="1"/>
  <c r="AD31" i="1"/>
  <c r="AD14" i="1"/>
  <c r="J59" i="1"/>
  <c r="AD78" i="1"/>
  <c r="AD95" i="1"/>
  <c r="AG21" i="1" a="1"/>
  <c r="AG21" i="1" s="1"/>
  <c r="AF21" i="1" s="1" a="1"/>
  <c r="AF21" i="1" s="1"/>
  <c r="AH21" i="1" s="1" a="1"/>
  <c r="AH21" i="1" s="1"/>
  <c r="AG71" i="1" a="1"/>
  <c r="AG71" i="1" s="1"/>
  <c r="AF71" i="1" s="1" a="1"/>
  <c r="AF71" i="1" s="1"/>
  <c r="AH71" i="1" s="1" a="1"/>
  <c r="AH71" i="1" s="1"/>
  <c r="AG78" i="1" a="1"/>
  <c r="AG78" i="1" s="1"/>
  <c r="AF78" i="1" s="1" a="1"/>
  <c r="AF78" i="1" s="1"/>
  <c r="AH78" i="1" s="1" a="1"/>
  <c r="AH78" i="1" s="1"/>
  <c r="AD80" i="1"/>
  <c r="AD85" i="1"/>
  <c r="AD74" i="1"/>
  <c r="P76" i="1"/>
  <c r="H88" i="1"/>
  <c r="AD93" i="1"/>
  <c r="J9" i="1"/>
  <c r="R29" i="1"/>
  <c r="J5" i="1"/>
  <c r="S29" i="1"/>
  <c r="R30" i="1"/>
  <c r="J22" i="1"/>
  <c r="P68" i="1"/>
  <c r="AG2" i="1" a="1"/>
  <c r="AG2" i="1" s="1"/>
  <c r="AF2" i="1" s="1" a="1"/>
  <c r="AF2" i="1" s="1"/>
  <c r="AH2" i="1" s="1" a="1"/>
  <c r="AH2" i="1" s="1"/>
  <c r="H20" i="1"/>
  <c r="P39" i="1"/>
  <c r="H43" i="1"/>
  <c r="AG52" i="1" a="1"/>
  <c r="AG52" i="1" s="1"/>
  <c r="AF52" i="1" s="1" a="1"/>
  <c r="AF52" i="1" s="1"/>
  <c r="AH52" i="1" s="1" a="1"/>
  <c r="AH52" i="1" s="1"/>
  <c r="AD56" i="1"/>
  <c r="J57" i="1"/>
  <c r="AD62" i="1"/>
  <c r="AG65" i="1" a="1"/>
  <c r="AG65" i="1" s="1"/>
  <c r="AF65" i="1" s="1" a="1"/>
  <c r="AF65" i="1" s="1"/>
  <c r="AH65" i="1" s="1" a="1"/>
  <c r="AH65" i="1" s="1"/>
  <c r="P78" i="1"/>
  <c r="AG81" i="1" a="1"/>
  <c r="AG81" i="1" s="1"/>
  <c r="AF81" i="1" s="1" a="1"/>
  <c r="AF81" i="1" s="1"/>
  <c r="AH81" i="1" s="1" a="1"/>
  <c r="AH81" i="1" s="1"/>
  <c r="P81" i="1"/>
  <c r="AD72" i="1"/>
  <c r="J80" i="1"/>
  <c r="AD18" i="1"/>
  <c r="AD20" i="1"/>
  <c r="S39" i="1"/>
  <c r="R42" i="1"/>
  <c r="I44" i="1"/>
  <c r="S46" i="1"/>
  <c r="P56" i="1"/>
  <c r="AD57" i="1"/>
  <c r="P71" i="1"/>
  <c r="R76" i="1"/>
  <c r="J50" i="1"/>
  <c r="AD54" i="1"/>
  <c r="H65" i="1"/>
  <c r="I65" i="1" s="1"/>
  <c r="H76" i="1"/>
  <c r="AD11" i="1"/>
  <c r="R12" i="1"/>
  <c r="AD25" i="1"/>
  <c r="H29" i="1"/>
  <c r="AG36" i="1" a="1"/>
  <c r="AG36" i="1" s="1"/>
  <c r="AF36" i="1" s="1" a="1"/>
  <c r="AF36" i="1" s="1"/>
  <c r="AH36" i="1" s="1" a="1"/>
  <c r="AH36" i="1" s="1"/>
  <c r="AD39" i="1"/>
  <c r="J76" i="1"/>
  <c r="S92" i="1"/>
  <c r="J74" i="1"/>
  <c r="AD3" i="1"/>
  <c r="R7" i="1"/>
  <c r="P9" i="1"/>
  <c r="AD16" i="1"/>
  <c r="H22" i="1"/>
  <c r="I22" i="1" s="1"/>
  <c r="H23" i="1"/>
  <c r="I23" i="1" s="1"/>
  <c r="J29" i="1"/>
  <c r="J46" i="1"/>
  <c r="AD51" i="1"/>
  <c r="AD68" i="1"/>
  <c r="AD6" i="1"/>
  <c r="I9" i="1"/>
  <c r="K9" i="1" s="1"/>
  <c r="H12" i="1"/>
  <c r="R27" i="1"/>
  <c r="P28" i="1"/>
  <c r="I48" i="1"/>
  <c r="K48" i="1" s="1"/>
  <c r="P64" i="1"/>
  <c r="S73" i="1"/>
  <c r="P25" i="1"/>
  <c r="S31" i="1"/>
  <c r="AD35" i="1"/>
  <c r="AG25" i="1" a="1"/>
  <c r="AG25" i="1" s="1"/>
  <c r="AF25" i="1" s="1" a="1"/>
  <c r="AF25" i="1" s="1"/>
  <c r="AH25" i="1" s="1" a="1"/>
  <c r="AH25" i="1" s="1"/>
  <c r="AD28" i="1"/>
  <c r="AG32" i="1" a="1"/>
  <c r="AG32" i="1" s="1"/>
  <c r="AF32" i="1" s="1" a="1"/>
  <c r="AF32" i="1" s="1"/>
  <c r="AH32" i="1" s="1" a="1"/>
  <c r="AH32" i="1" s="1"/>
  <c r="S32" i="1"/>
  <c r="AG34" i="1" a="1"/>
  <c r="AG34" i="1" s="1"/>
  <c r="AF34" i="1" s="1" a="1"/>
  <c r="AF34" i="1" s="1"/>
  <c r="AH34" i="1" s="1" a="1"/>
  <c r="AH34" i="1" s="1"/>
  <c r="P35" i="1"/>
  <c r="AD58" i="1"/>
  <c r="S20" i="1"/>
  <c r="AG29" i="1" a="1"/>
  <c r="AG29" i="1" s="1"/>
  <c r="AF29" i="1" s="1" a="1"/>
  <c r="AF29" i="1" s="1"/>
  <c r="AH29" i="1" s="1" a="1"/>
  <c r="AH29" i="1" s="1"/>
  <c r="R35" i="1"/>
  <c r="AD37" i="1"/>
  <c r="AD38" i="1"/>
  <c r="J41" i="1"/>
  <c r="AD45" i="1"/>
  <c r="J54" i="1"/>
  <c r="R56" i="1"/>
  <c r="S59" i="1"/>
  <c r="AG64" i="1" a="1"/>
  <c r="AG64" i="1" s="1"/>
  <c r="AF64" i="1" s="1" a="1"/>
  <c r="AF64" i="1" s="1"/>
  <c r="AH64" i="1" s="1" a="1"/>
  <c r="AH64" i="1" s="1"/>
  <c r="AD70" i="1"/>
  <c r="H71" i="1"/>
  <c r="I71" i="1" s="1"/>
  <c r="AG74" i="1" a="1"/>
  <c r="AG74" i="1" s="1"/>
  <c r="AF74" i="1" s="1" a="1"/>
  <c r="AF74" i="1" s="1"/>
  <c r="AH74" i="1" s="1" a="1"/>
  <c r="AH74" i="1" s="1"/>
  <c r="AD75" i="1"/>
  <c r="H78" i="1"/>
  <c r="I78" i="1" s="1"/>
  <c r="AD65" i="1"/>
  <c r="J66" i="1"/>
  <c r="AD67" i="1"/>
  <c r="H72" i="1"/>
  <c r="I72" i="1" s="1"/>
  <c r="J73" i="1"/>
  <c r="R74" i="1"/>
  <c r="I79" i="1"/>
  <c r="K79" i="1" s="1"/>
  <c r="AD88" i="1"/>
  <c r="H92" i="1"/>
  <c r="AG93" i="1" a="1"/>
  <c r="AG93" i="1" s="1"/>
  <c r="AF93" i="1" s="1" a="1"/>
  <c r="AF93" i="1" s="1"/>
  <c r="AH93" i="1" s="1" a="1"/>
  <c r="AH93" i="1" s="1"/>
  <c r="H96" i="1"/>
  <c r="I2" i="1"/>
  <c r="S12" i="1"/>
  <c r="J25" i="1"/>
  <c r="AD40" i="1"/>
  <c r="R48" i="1"/>
  <c r="AD49" i="1"/>
  <c r="R5" i="1"/>
  <c r="P7" i="1"/>
  <c r="AD10" i="1"/>
  <c r="H18" i="1"/>
  <c r="H27" i="1"/>
  <c r="I27" i="1" s="1"/>
  <c r="S36" i="1"/>
  <c r="S48" i="1"/>
  <c r="AD53" i="1"/>
  <c r="H56" i="1"/>
  <c r="I56" i="1" s="1"/>
  <c r="S93" i="1"/>
  <c r="J96" i="1"/>
  <c r="AG69" i="1" a="1"/>
  <c r="AG69" i="1" s="1"/>
  <c r="AF69" i="1" s="1" a="1"/>
  <c r="AF69" i="1" s="1"/>
  <c r="AH69" i="1" s="1" a="1"/>
  <c r="AH69" i="1" s="1"/>
  <c r="AD91" i="1"/>
  <c r="R41" i="1"/>
  <c r="AD47" i="1"/>
  <c r="R54" i="1"/>
  <c r="AD55" i="1"/>
  <c r="AG72" i="1" a="1"/>
  <c r="AG72" i="1" s="1"/>
  <c r="AF72" i="1" s="1" a="1"/>
  <c r="AF72" i="1" s="1"/>
  <c r="AH72" i="1" s="1" a="1"/>
  <c r="AH72" i="1" s="1"/>
  <c r="AD84" i="1"/>
  <c r="H93" i="1"/>
  <c r="AD59" i="1"/>
  <c r="S3" i="1"/>
  <c r="P6" i="1"/>
  <c r="AD15" i="1"/>
  <c r="AD17" i="1"/>
  <c r="AD19" i="1"/>
  <c r="R60" i="1"/>
  <c r="AD22" i="1"/>
  <c r="R26" i="1"/>
  <c r="P66" i="1"/>
  <c r="AD71" i="1"/>
  <c r="R83" i="1"/>
  <c r="AG89" i="1" a="1"/>
  <c r="AG89" i="1" s="1"/>
  <c r="AF89" i="1" s="1" a="1"/>
  <c r="AF89" i="1" s="1"/>
  <c r="AH89" i="1" s="1" a="1"/>
  <c r="AH89" i="1" s="1"/>
  <c r="R4" i="1"/>
  <c r="R8" i="1"/>
  <c r="P10" i="1"/>
  <c r="S18" i="1"/>
  <c r="R21" i="1"/>
  <c r="H26" i="1"/>
  <c r="I26" i="1" s="1"/>
  <c r="S26" i="1"/>
  <c r="I28" i="1"/>
  <c r="S35" i="1"/>
  <c r="R37" i="1"/>
  <c r="AG37" i="1" a="1"/>
  <c r="AG37" i="1" s="1"/>
  <c r="AF37" i="1" s="1" a="1"/>
  <c r="AF37" i="1" s="1"/>
  <c r="AH37" i="1" s="1" a="1"/>
  <c r="AH37" i="1" s="1"/>
  <c r="AG41" i="1" a="1"/>
  <c r="AG41" i="1" s="1"/>
  <c r="AF41" i="1" s="1" a="1"/>
  <c r="AF41" i="1" s="1"/>
  <c r="AH41" i="1" s="1" a="1"/>
  <c r="AH41" i="1" s="1"/>
  <c r="H42" i="1"/>
  <c r="I42" i="1" s="1"/>
  <c r="S42" i="1"/>
  <c r="AG43" i="1" a="1"/>
  <c r="AG43" i="1" s="1"/>
  <c r="AF43" i="1" s="1" a="1"/>
  <c r="AF43" i="1" s="1"/>
  <c r="AH43" i="1" s="1" a="1"/>
  <c r="AH43" i="1" s="1"/>
  <c r="AG44" i="1" a="1"/>
  <c r="AG44" i="1" s="1"/>
  <c r="AF44" i="1" s="1" a="1"/>
  <c r="AF44" i="1" s="1"/>
  <c r="AH44" i="1" s="1" a="1"/>
  <c r="AH44" i="1" s="1"/>
  <c r="R52" i="1"/>
  <c r="H58" i="1"/>
  <c r="I58" i="1" s="1"/>
  <c r="H60" i="1"/>
  <c r="I60" i="1" s="1"/>
  <c r="J64" i="1"/>
  <c r="P88" i="1"/>
  <c r="P26" i="1"/>
  <c r="P44" i="1"/>
  <c r="P50" i="1"/>
  <c r="S55" i="1"/>
  <c r="P57" i="1"/>
  <c r="R58" i="1"/>
  <c r="P5" i="1"/>
  <c r="R6" i="1"/>
  <c r="H8" i="1"/>
  <c r="I8" i="1" s="1"/>
  <c r="S8" i="1"/>
  <c r="AG8" i="1" a="1"/>
  <c r="AG8" i="1" s="1"/>
  <c r="AF8" i="1" s="1" a="1"/>
  <c r="AF8" i="1" s="1"/>
  <c r="AH8" i="1" s="1" a="1"/>
  <c r="AH8" i="1" s="1"/>
  <c r="AD12" i="1"/>
  <c r="H21" i="1"/>
  <c r="I21" i="1" s="1"/>
  <c r="AD23" i="1"/>
  <c r="AD24" i="1"/>
  <c r="AG51" i="1" a="1"/>
  <c r="AG51" i="1" s="1"/>
  <c r="AF51" i="1" s="1" a="1"/>
  <c r="AF51" i="1" s="1"/>
  <c r="AH51" i="1" s="1" a="1"/>
  <c r="AH51" i="1" s="1"/>
  <c r="H52" i="1"/>
  <c r="I52" i="1" s="1"/>
  <c r="K52" i="1" s="1"/>
  <c r="R57" i="1"/>
  <c r="J58" i="1"/>
  <c r="L58" i="1" s="1"/>
  <c r="J60" i="1"/>
  <c r="AD64" i="1"/>
  <c r="R66" i="1"/>
  <c r="P74" i="1"/>
  <c r="H83" i="1"/>
  <c r="I83" i="1" s="1"/>
  <c r="P84" i="1"/>
  <c r="H85" i="1"/>
  <c r="AD87" i="1"/>
  <c r="H89" i="1"/>
  <c r="AG27" i="1" a="1"/>
  <c r="AG27" i="1" s="1"/>
  <c r="AF27" i="1" s="1" a="1"/>
  <c r="AF27" i="1" s="1"/>
  <c r="AH27" i="1" s="1" a="1"/>
  <c r="AH27" i="1" s="1"/>
  <c r="AD30" i="1"/>
  <c r="J32" i="1"/>
  <c r="AD34" i="1"/>
  <c r="AD36" i="1"/>
  <c r="H37" i="1"/>
  <c r="P41" i="1"/>
  <c r="J42" i="1"/>
  <c r="I50" i="1"/>
  <c r="K50" i="1" s="1"/>
  <c r="R50" i="1"/>
  <c r="AD79" i="1"/>
  <c r="AD2" i="1"/>
  <c r="H3" i="1"/>
  <c r="H6" i="1"/>
  <c r="I6" i="1" s="1"/>
  <c r="AG7" i="1" a="1"/>
  <c r="AG7" i="1" s="1"/>
  <c r="AF7" i="1" s="1" a="1"/>
  <c r="AF7" i="1" s="1"/>
  <c r="AH7" i="1" s="1" a="1"/>
  <c r="AH7" i="1" s="1"/>
  <c r="AD7" i="1"/>
  <c r="J8" i="1"/>
  <c r="S10" i="1"/>
  <c r="AD13" i="1"/>
  <c r="P20" i="1"/>
  <c r="J21" i="1"/>
  <c r="P23" i="1"/>
  <c r="AG23" i="1" a="1"/>
  <c r="AG23" i="1" s="1"/>
  <c r="AF23" i="1" s="1" a="1"/>
  <c r="AF23" i="1" s="1"/>
  <c r="AH23" i="1" s="1" a="1"/>
  <c r="AH23" i="1" s="1"/>
  <c r="AD26" i="1"/>
  <c r="P27" i="1"/>
  <c r="I29" i="1"/>
  <c r="P36" i="1"/>
  <c r="J37" i="1"/>
  <c r="AG39" i="1" a="1"/>
  <c r="AG39" i="1" s="1"/>
  <c r="AF39" i="1" s="1" a="1"/>
  <c r="AF39" i="1" s="1"/>
  <c r="AH39" i="1" s="1" a="1"/>
  <c r="AH39" i="1" s="1"/>
  <c r="AD42" i="1"/>
  <c r="AD43" i="1"/>
  <c r="H50" i="1"/>
  <c r="S50" i="1"/>
  <c r="J52" i="1"/>
  <c r="H57" i="1"/>
  <c r="I57" i="1" s="1"/>
  <c r="R59" i="1"/>
  <c r="H66" i="1"/>
  <c r="AD69" i="1"/>
  <c r="R71" i="1"/>
  <c r="R78" i="1"/>
  <c r="P79" i="1"/>
  <c r="S81" i="1"/>
  <c r="AG84" i="1" a="1"/>
  <c r="AG84" i="1" s="1"/>
  <c r="AF84" i="1" s="1" a="1"/>
  <c r="AF84" i="1" s="1"/>
  <c r="AH84" i="1" s="1" a="1"/>
  <c r="AH84" i="1" s="1"/>
  <c r="P87" i="1"/>
  <c r="I88" i="1"/>
  <c r="R88" i="1"/>
  <c r="AG88" i="1" a="1"/>
  <c r="AG88" i="1" s="1"/>
  <c r="AF88" i="1" s="1" a="1"/>
  <c r="AF88" i="1" s="1"/>
  <c r="AH88" i="1" s="1" a="1"/>
  <c r="AH88" i="1" s="1"/>
  <c r="P93" i="1"/>
  <c r="AD92" i="1"/>
  <c r="J6" i="1"/>
  <c r="AD8" i="1"/>
  <c r="I10" i="1"/>
  <c r="AD21" i="1"/>
  <c r="H5" i="1"/>
  <c r="I5" i="1" s="1"/>
  <c r="K5" i="1" s="1"/>
  <c r="AG35" i="1" a="1"/>
  <c r="AG35" i="1" s="1"/>
  <c r="AF35" i="1" s="1" a="1"/>
  <c r="AF35" i="1" s="1"/>
  <c r="AH35" i="1" s="1" a="1"/>
  <c r="AH35" i="1" s="1"/>
  <c r="H41" i="1"/>
  <c r="I41" i="1" s="1"/>
  <c r="K41" i="1" s="1"/>
  <c r="H59" i="1"/>
  <c r="I59" i="1" s="1"/>
  <c r="K59" i="1" s="1"/>
  <c r="AG68" i="1" a="1"/>
  <c r="AG68" i="1" s="1"/>
  <c r="AF68" i="1" s="1" a="1"/>
  <c r="AF68" i="1" s="1"/>
  <c r="AH68" i="1" s="1" a="1"/>
  <c r="AH68" i="1" s="1"/>
  <c r="J71" i="1"/>
  <c r="AD73" i="1"/>
  <c r="H74" i="1"/>
  <c r="I74" i="1" s="1"/>
  <c r="K74" i="1" s="1"/>
  <c r="J78" i="1"/>
  <c r="AD83" i="1"/>
  <c r="AG87" i="1" a="1"/>
  <c r="AG87" i="1" s="1"/>
  <c r="AF87" i="1" s="1" a="1"/>
  <c r="AF87" i="1" s="1"/>
  <c r="AH87" i="1" s="1" a="1"/>
  <c r="AH87" i="1" s="1"/>
  <c r="R93" i="1"/>
  <c r="AD52" i="1"/>
  <c r="P58" i="1"/>
  <c r="P60" i="1"/>
  <c r="P69" i="1"/>
  <c r="AG76" i="1" a="1"/>
  <c r="AG76" i="1" s="1"/>
  <c r="AF76" i="1" s="1" a="1"/>
  <c r="AF76" i="1" s="1"/>
  <c r="AH76" i="1" s="1" a="1"/>
  <c r="AH76" i="1" s="1"/>
  <c r="AD76" i="1"/>
  <c r="AD77" i="1"/>
  <c r="P83" i="1"/>
  <c r="P85" i="1"/>
  <c r="AD86" i="1"/>
  <c r="P89" i="1"/>
  <c r="AG6" i="1" a="1"/>
  <c r="AG6" i="1" s="1"/>
  <c r="AF6" i="1" s="1" a="1"/>
  <c r="AF6" i="1" s="1"/>
  <c r="AH6" i="1" s="1" a="1"/>
  <c r="AH6" i="1" s="1"/>
  <c r="H7" i="1"/>
  <c r="I7" i="1" s="1"/>
  <c r="R9" i="1"/>
  <c r="AG9" i="1" a="1"/>
  <c r="AG9" i="1" s="1"/>
  <c r="AF9" i="1" s="1" a="1"/>
  <c r="AF9" i="1" s="1"/>
  <c r="AH9" i="1" s="1" a="1"/>
  <c r="AH9" i="1" s="1"/>
  <c r="P21" i="1"/>
  <c r="J27" i="1"/>
  <c r="L27" i="1" s="1"/>
  <c r="P37" i="1"/>
  <c r="I43" i="1"/>
  <c r="AD44" i="1"/>
  <c r="AD50" i="1"/>
  <c r="J51" i="1"/>
  <c r="P52" i="1"/>
  <c r="H54" i="1"/>
  <c r="I54" i="1" s="1"/>
  <c r="J56" i="1"/>
  <c r="AD61" i="1"/>
  <c r="H64" i="1"/>
  <c r="I64" i="1" s="1"/>
  <c r="R64" i="1"/>
  <c r="AG66" i="1" a="1"/>
  <c r="AG66" i="1" s="1"/>
  <c r="AF66" i="1" s="1" a="1"/>
  <c r="AF66" i="1" s="1"/>
  <c r="AH66" i="1" s="1" a="1"/>
  <c r="AH66" i="1" s="1"/>
  <c r="AD66" i="1"/>
  <c r="AG85" i="1" a="1"/>
  <c r="AG85" i="1" s="1"/>
  <c r="AF85" i="1" s="1" a="1"/>
  <c r="AF85" i="1" s="1"/>
  <c r="AH85" i="1" s="1" a="1"/>
  <c r="AH85" i="1" s="1"/>
  <c r="J91" i="1"/>
  <c r="AC96" i="1"/>
  <c r="I82" i="1"/>
  <c r="K29" i="1"/>
  <c r="I93" i="1"/>
  <c r="I92" i="1"/>
  <c r="I12" i="1"/>
  <c r="K12" i="1" s="1"/>
  <c r="K42" i="1"/>
  <c r="I68" i="1"/>
  <c r="K68" i="1" s="1"/>
  <c r="L6" i="1"/>
  <c r="K22" i="1"/>
  <c r="L22" i="1"/>
  <c r="R53" i="1"/>
  <c r="J53" i="1"/>
  <c r="H53" i="1"/>
  <c r="S53" i="1"/>
  <c r="P53" i="1"/>
  <c r="AG53" i="1" a="1"/>
  <c r="AG53" i="1" s="1"/>
  <c r="AF53" i="1" s="1" a="1"/>
  <c r="AF53" i="1" s="1"/>
  <c r="AH53" i="1" s="1" a="1"/>
  <c r="AH53" i="1" s="1"/>
  <c r="L9" i="1"/>
  <c r="AG13" i="1" a="1"/>
  <c r="AG13" i="1" s="1"/>
  <c r="AF13" i="1" s="1" a="1"/>
  <c r="AF13" i="1" s="1"/>
  <c r="AH13" i="1" s="1" a="1"/>
  <c r="AH13" i="1" s="1"/>
  <c r="P13" i="1"/>
  <c r="H13" i="1"/>
  <c r="I13" i="1" s="1"/>
  <c r="P16" i="1"/>
  <c r="H16" i="1"/>
  <c r="I16" i="1" s="1"/>
  <c r="S24" i="1"/>
  <c r="AG24" i="1" a="1"/>
  <c r="AG24" i="1" s="1"/>
  <c r="AF24" i="1" s="1" a="1"/>
  <c r="AF24" i="1" s="1"/>
  <c r="AH24" i="1" s="1" a="1"/>
  <c r="AH24" i="1" s="1"/>
  <c r="P33" i="1"/>
  <c r="H33" i="1"/>
  <c r="I33" i="1" s="1"/>
  <c r="AG47" i="1" a="1"/>
  <c r="AG47" i="1" s="1"/>
  <c r="AF47" i="1" s="1" a="1"/>
  <c r="AF47" i="1" s="1"/>
  <c r="AH47" i="1" s="1" a="1"/>
  <c r="AH47" i="1" s="1"/>
  <c r="P47" i="1"/>
  <c r="H47" i="1"/>
  <c r="I47" i="1" s="1"/>
  <c r="K47" i="1" s="1"/>
  <c r="S47" i="1"/>
  <c r="J47" i="1"/>
  <c r="R47" i="1"/>
  <c r="S49" i="1"/>
  <c r="R49" i="1"/>
  <c r="J49" i="1"/>
  <c r="H49" i="1"/>
  <c r="I49" i="1" s="1"/>
  <c r="AG49" i="1" a="1"/>
  <c r="AG49" i="1" s="1"/>
  <c r="AF49" i="1" s="1" a="1"/>
  <c r="AF49" i="1" s="1"/>
  <c r="AH49" i="1" s="1" a="1"/>
  <c r="AH49" i="1" s="1"/>
  <c r="P49" i="1"/>
  <c r="AG61" i="1" a="1"/>
  <c r="AG61" i="1" s="1"/>
  <c r="AF61" i="1" s="1" a="1"/>
  <c r="AF61" i="1" s="1"/>
  <c r="AH61" i="1" s="1" a="1"/>
  <c r="AH61" i="1" s="1"/>
  <c r="R61" i="1"/>
  <c r="J61" i="1"/>
  <c r="S61" i="1"/>
  <c r="H61" i="1"/>
  <c r="I61" i="1" s="1"/>
  <c r="P61" i="1"/>
  <c r="S62" i="1"/>
  <c r="R62" i="1"/>
  <c r="H62" i="1"/>
  <c r="P62" i="1"/>
  <c r="J62" i="1"/>
  <c r="AG62" i="1" a="1"/>
  <c r="AG62" i="1" s="1"/>
  <c r="AF62" i="1" s="1" a="1"/>
  <c r="AF62" i="1" s="1"/>
  <c r="AH62" i="1" s="1" a="1"/>
  <c r="AH62" i="1" s="1"/>
  <c r="K60" i="1"/>
  <c r="L60" i="1"/>
  <c r="K71" i="1"/>
  <c r="L71" i="1"/>
  <c r="R15" i="1"/>
  <c r="P19" i="1"/>
  <c r="L29" i="1"/>
  <c r="AG31" i="1" a="1"/>
  <c r="AG31" i="1" s="1"/>
  <c r="AF31" i="1" s="1" a="1"/>
  <c r="AF31" i="1" s="1"/>
  <c r="AH31" i="1" s="1" a="1"/>
  <c r="AH31" i="1" s="1"/>
  <c r="P31" i="1"/>
  <c r="H31" i="1"/>
  <c r="I31" i="1" s="1"/>
  <c r="K31" i="1" s="1"/>
  <c r="AG33" i="1" a="1"/>
  <c r="AG33" i="1" s="1"/>
  <c r="AF33" i="1" s="1" a="1"/>
  <c r="AF33" i="1" s="1"/>
  <c r="AH33" i="1" s="1" a="1"/>
  <c r="AH33" i="1" s="1"/>
  <c r="R38" i="1"/>
  <c r="J38" i="1"/>
  <c r="S38" i="1"/>
  <c r="H38" i="1"/>
  <c r="I38" i="1" s="1"/>
  <c r="R2" i="1"/>
  <c r="J2" i="1"/>
  <c r="K2" i="1" s="1"/>
  <c r="AG11" i="1" a="1"/>
  <c r="AG11" i="1" s="1"/>
  <c r="AF11" i="1" s="1" a="1"/>
  <c r="AF11" i="1" s="1"/>
  <c r="AH11" i="1" s="1" a="1"/>
  <c r="AH11" i="1" s="1"/>
  <c r="J15" i="1"/>
  <c r="S15" i="1"/>
  <c r="AG16" i="1" a="1"/>
  <c r="AG16" i="1" s="1"/>
  <c r="AF16" i="1" s="1" a="1"/>
  <c r="AF16" i="1" s="1"/>
  <c r="AH16" i="1" s="1" a="1"/>
  <c r="AH16" i="1" s="1"/>
  <c r="R17" i="1"/>
  <c r="AG18" i="1" a="1"/>
  <c r="AG18" i="1" s="1"/>
  <c r="AF18" i="1" s="1" a="1"/>
  <c r="AF18" i="1" s="1"/>
  <c r="AH18" i="1" s="1" a="1"/>
  <c r="AH18" i="1" s="1"/>
  <c r="H19" i="1"/>
  <c r="I19" i="1" s="1"/>
  <c r="R20" i="1"/>
  <c r="P38" i="1"/>
  <c r="AG3" i="1" a="1"/>
  <c r="AG3" i="1" s="1"/>
  <c r="AF3" i="1" s="1" a="1"/>
  <c r="AF3" i="1" s="1"/>
  <c r="AH3" i="1" s="1" a="1"/>
  <c r="AH3" i="1" s="1"/>
  <c r="P11" i="1"/>
  <c r="AG14" i="1" a="1"/>
  <c r="AG14" i="1" s="1"/>
  <c r="AF14" i="1" s="1" a="1"/>
  <c r="AF14" i="1" s="1"/>
  <c r="AH14" i="1" s="1" a="1"/>
  <c r="AH14" i="1" s="1"/>
  <c r="P14" i="1"/>
  <c r="H14" i="1"/>
  <c r="I14" i="1" s="1"/>
  <c r="S14" i="1"/>
  <c r="J14" i="1"/>
  <c r="J17" i="1"/>
  <c r="J19" i="1"/>
  <c r="R19" i="1"/>
  <c r="S22" i="1"/>
  <c r="AG22" i="1" a="1"/>
  <c r="AG22" i="1" s="1"/>
  <c r="AF22" i="1" s="1" a="1"/>
  <c r="AF22" i="1" s="1"/>
  <c r="AH22" i="1" s="1" a="1"/>
  <c r="AH22" i="1" s="1"/>
  <c r="P24" i="1"/>
  <c r="S25" i="1"/>
  <c r="R25" i="1"/>
  <c r="AD29" i="1"/>
  <c r="J30" i="1"/>
  <c r="P34" i="1"/>
  <c r="H34" i="1"/>
  <c r="I34" i="1" s="1"/>
  <c r="S34" i="1"/>
  <c r="J34" i="1"/>
  <c r="AG40" i="1" a="1"/>
  <c r="AG40" i="1" s="1"/>
  <c r="AF40" i="1" s="1" a="1"/>
  <c r="AF40" i="1" s="1"/>
  <c r="AH40" i="1" s="1" a="1"/>
  <c r="AH40" i="1" s="1"/>
  <c r="P40" i="1"/>
  <c r="H40" i="1"/>
  <c r="I40" i="1" s="1"/>
  <c r="R40" i="1"/>
  <c r="J40" i="1"/>
  <c r="I3" i="1"/>
  <c r="P3" i="1"/>
  <c r="J4" i="1"/>
  <c r="AG5" i="1" a="1"/>
  <c r="AG5" i="1" s="1"/>
  <c r="AF5" i="1" s="1" a="1"/>
  <c r="AF5" i="1" s="1"/>
  <c r="AH5" i="1" s="1" a="1"/>
  <c r="AH5" i="1" s="1"/>
  <c r="R10" i="1"/>
  <c r="J10" i="1"/>
  <c r="K10" i="1" s="1"/>
  <c r="AG10" i="1" a="1"/>
  <c r="AG10" i="1" s="1"/>
  <c r="AF10" i="1" s="1" a="1"/>
  <c r="AF10" i="1" s="1"/>
  <c r="AH10" i="1" s="1" a="1"/>
  <c r="AH10" i="1" s="1"/>
  <c r="I11" i="1"/>
  <c r="AG12" i="1" a="1"/>
  <c r="AG12" i="1" s="1"/>
  <c r="AF12" i="1" s="1" a="1"/>
  <c r="AF12" i="1" s="1"/>
  <c r="AH12" i="1" s="1" a="1"/>
  <c r="AH12" i="1" s="1"/>
  <c r="R13" i="1"/>
  <c r="I18" i="1"/>
  <c r="P18" i="1"/>
  <c r="S19" i="1"/>
  <c r="AG20" i="1" a="1"/>
  <c r="AG20" i="1" s="1"/>
  <c r="AF20" i="1" s="1" a="1"/>
  <c r="AF20" i="1" s="1"/>
  <c r="AH20" i="1" s="1" a="1"/>
  <c r="AH20" i="1" s="1"/>
  <c r="H24" i="1"/>
  <c r="I24" i="1" s="1"/>
  <c r="P32" i="1"/>
  <c r="H32" i="1"/>
  <c r="I32" i="1" s="1"/>
  <c r="J11" i="1"/>
  <c r="R11" i="1"/>
  <c r="J13" i="1"/>
  <c r="S13" i="1"/>
  <c r="AG15" i="1" a="1"/>
  <c r="AG15" i="1" s="1"/>
  <c r="AF15" i="1" s="1" a="1"/>
  <c r="AF15" i="1" s="1"/>
  <c r="AH15" i="1" s="1" a="1"/>
  <c r="AH15" i="1" s="1"/>
  <c r="P15" i="1"/>
  <c r="H15" i="1"/>
  <c r="I15" i="1" s="1"/>
  <c r="R16" i="1"/>
  <c r="P17" i="1"/>
  <c r="H17" i="1"/>
  <c r="I17" i="1" s="1"/>
  <c r="R24" i="1"/>
  <c r="R28" i="1"/>
  <c r="J28" i="1"/>
  <c r="S28" i="1"/>
  <c r="AG30" i="1" a="1"/>
  <c r="AG30" i="1" s="1"/>
  <c r="AF30" i="1" s="1" a="1"/>
  <c r="AF30" i="1" s="1"/>
  <c r="AH30" i="1" s="1" a="1"/>
  <c r="AH30" i="1" s="1"/>
  <c r="P30" i="1"/>
  <c r="H30" i="1"/>
  <c r="I30" i="1" s="1"/>
  <c r="R33" i="1"/>
  <c r="P2" i="1"/>
  <c r="J3" i="1"/>
  <c r="AG4" i="1" a="1"/>
  <c r="AG4" i="1" s="1"/>
  <c r="AF4" i="1" s="1" a="1"/>
  <c r="AF4" i="1" s="1"/>
  <c r="AH4" i="1" s="1" a="1"/>
  <c r="AH4" i="1" s="1"/>
  <c r="P4" i="1"/>
  <c r="H4" i="1"/>
  <c r="I4" i="1" s="1"/>
  <c r="S11" i="1"/>
  <c r="P12" i="1"/>
  <c r="R14" i="1"/>
  <c r="J16" i="1"/>
  <c r="S16" i="1"/>
  <c r="AG17" i="1" a="1"/>
  <c r="AG17" i="1" s="1"/>
  <c r="AF17" i="1" s="1" a="1"/>
  <c r="AF17" i="1" s="1"/>
  <c r="AH17" i="1" s="1" a="1"/>
  <c r="AH17" i="1" s="1"/>
  <c r="J18" i="1"/>
  <c r="I20" i="1"/>
  <c r="K20" i="1" s="1"/>
  <c r="P22" i="1"/>
  <c r="S23" i="1"/>
  <c r="R23" i="1"/>
  <c r="J24" i="1"/>
  <c r="I25" i="1"/>
  <c r="AG26" i="1" a="1"/>
  <c r="AG26" i="1" s="1"/>
  <c r="AF26" i="1" s="1" a="1"/>
  <c r="AF26" i="1" s="1"/>
  <c r="AH26" i="1" s="1" a="1"/>
  <c r="AH26" i="1" s="1"/>
  <c r="AG28" i="1" a="1"/>
  <c r="AG28" i="1" s="1"/>
  <c r="AF28" i="1" s="1" a="1"/>
  <c r="AF28" i="1" s="1"/>
  <c r="AH28" i="1" s="1" a="1"/>
  <c r="AH28" i="1" s="1"/>
  <c r="R31" i="1"/>
  <c r="J33" i="1"/>
  <c r="L33" i="1" s="1"/>
  <c r="S33" i="1"/>
  <c r="I37" i="1"/>
  <c r="AG38" i="1" a="1"/>
  <c r="AG38" i="1" s="1"/>
  <c r="AF38" i="1" s="1" a="1"/>
  <c r="AF38" i="1" s="1"/>
  <c r="AH38" i="1" s="1" a="1"/>
  <c r="AH38" i="1" s="1"/>
  <c r="H39" i="1"/>
  <c r="I39" i="1" s="1"/>
  <c r="L41" i="1"/>
  <c r="L42" i="1"/>
  <c r="K57" i="1"/>
  <c r="L57" i="1"/>
  <c r="L8" i="1"/>
  <c r="P48" i="1"/>
  <c r="AG48" i="1" a="1"/>
  <c r="AG48" i="1" s="1"/>
  <c r="AF48" i="1" s="1" a="1"/>
  <c r="AF48" i="1" s="1"/>
  <c r="AH48" i="1" s="1" a="1"/>
  <c r="AH48" i="1" s="1"/>
  <c r="L48" i="1"/>
  <c r="AG70" i="1" a="1"/>
  <c r="AG70" i="1" s="1"/>
  <c r="AF70" i="1" s="1" a="1"/>
  <c r="AF70" i="1" s="1"/>
  <c r="AH70" i="1" s="1" a="1"/>
  <c r="AH70" i="1" s="1"/>
  <c r="S70" i="1"/>
  <c r="J70" i="1"/>
  <c r="P70" i="1"/>
  <c r="H70" i="1"/>
  <c r="I70" i="1" s="1"/>
  <c r="AG60" i="1" a="1"/>
  <c r="AG60" i="1" s="1"/>
  <c r="AF60" i="1" s="1" a="1"/>
  <c r="AF60" i="1" s="1"/>
  <c r="AH60" i="1" s="1" a="1"/>
  <c r="AH60" i="1" s="1"/>
  <c r="AD60" i="1"/>
  <c r="R70" i="1"/>
  <c r="R51" i="1"/>
  <c r="S51" i="1"/>
  <c r="H51" i="1"/>
  <c r="P51" i="1"/>
  <c r="R45" i="1"/>
  <c r="I53" i="1"/>
  <c r="K53" i="1" s="1"/>
  <c r="J45" i="1"/>
  <c r="AG63" i="1" a="1"/>
  <c r="AG63" i="1" s="1"/>
  <c r="AF63" i="1" s="1" a="1"/>
  <c r="AF63" i="1" s="1"/>
  <c r="AH63" i="1" s="1" a="1"/>
  <c r="AH63" i="1" s="1"/>
  <c r="P63" i="1"/>
  <c r="H63" i="1"/>
  <c r="I63" i="1" s="1"/>
  <c r="R63" i="1"/>
  <c r="S63" i="1"/>
  <c r="K72" i="1"/>
  <c r="L72" i="1"/>
  <c r="H35" i="1"/>
  <c r="I35" i="1" s="1"/>
  <c r="I36" i="1"/>
  <c r="K36" i="1" s="1"/>
  <c r="AG45" i="1" a="1"/>
  <c r="AG45" i="1" s="1"/>
  <c r="AF45" i="1" s="1" a="1"/>
  <c r="AF45" i="1" s="1"/>
  <c r="AH45" i="1" s="1" a="1"/>
  <c r="AH45" i="1" s="1"/>
  <c r="P45" i="1"/>
  <c r="H45" i="1"/>
  <c r="I45" i="1" s="1"/>
  <c r="I66" i="1"/>
  <c r="AG55" i="1" a="1"/>
  <c r="AG55" i="1" s="1"/>
  <c r="AF55" i="1" s="1" a="1"/>
  <c r="AF55" i="1" s="1"/>
  <c r="AH55" i="1" s="1" a="1"/>
  <c r="AH55" i="1" s="1"/>
  <c r="P55" i="1"/>
  <c r="H55" i="1"/>
  <c r="I55" i="1" s="1"/>
  <c r="R55" i="1"/>
  <c r="S69" i="1"/>
  <c r="R67" i="1"/>
  <c r="J67" i="1"/>
  <c r="AG67" i="1" a="1"/>
  <c r="AG67" i="1" s="1"/>
  <c r="AF67" i="1" s="1" a="1"/>
  <c r="AF67" i="1" s="1"/>
  <c r="AH67" i="1" s="1" a="1"/>
  <c r="AH67" i="1" s="1"/>
  <c r="H67" i="1"/>
  <c r="I67" i="1" s="1"/>
  <c r="P67" i="1"/>
  <c r="H69" i="1"/>
  <c r="I69" i="1" s="1"/>
  <c r="R69" i="1"/>
  <c r="J69" i="1"/>
  <c r="J43" i="1"/>
  <c r="L43" i="1" s="1"/>
  <c r="R43" i="1"/>
  <c r="J44" i="1"/>
  <c r="L44" i="1" s="1"/>
  <c r="R44" i="1"/>
  <c r="L50" i="1"/>
  <c r="AG54" i="1" a="1"/>
  <c r="AG54" i="1" s="1"/>
  <c r="AF54" i="1" s="1" a="1"/>
  <c r="AF54" i="1" s="1"/>
  <c r="AH54" i="1" s="1" a="1"/>
  <c r="AH54" i="1" s="1"/>
  <c r="S54" i="1"/>
  <c r="AD63" i="1"/>
  <c r="S65" i="1"/>
  <c r="J65" i="1"/>
  <c r="R77" i="1"/>
  <c r="J77" i="1"/>
  <c r="S77" i="1"/>
  <c r="H77" i="1"/>
  <c r="I77" i="1" s="1"/>
  <c r="AG77" i="1" a="1"/>
  <c r="AG77" i="1" s="1"/>
  <c r="AF77" i="1" s="1" a="1"/>
  <c r="AF77" i="1" s="1"/>
  <c r="AH77" i="1" s="1" a="1"/>
  <c r="AH77" i="1" s="1"/>
  <c r="P77" i="1"/>
  <c r="S43" i="1"/>
  <c r="S44" i="1"/>
  <c r="I51" i="1"/>
  <c r="K51" i="1" s="1"/>
  <c r="I62" i="1"/>
  <c r="AG46" i="1" a="1"/>
  <c r="AG46" i="1" s="1"/>
  <c r="AF46" i="1" s="1" a="1"/>
  <c r="AF46" i="1" s="1"/>
  <c r="AH46" i="1" s="1" a="1"/>
  <c r="AH46" i="1" s="1"/>
  <c r="P46" i="1"/>
  <c r="H46" i="1"/>
  <c r="I46" i="1" s="1"/>
  <c r="H75" i="1"/>
  <c r="I75" i="1" s="1"/>
  <c r="S75" i="1"/>
  <c r="J75" i="1"/>
  <c r="R75" i="1"/>
  <c r="P75" i="1"/>
  <c r="AG75" i="1" a="1"/>
  <c r="AG75" i="1" s="1"/>
  <c r="AF75" i="1" s="1" a="1"/>
  <c r="AF75" i="1" s="1"/>
  <c r="AH75" i="1" s="1" a="1"/>
  <c r="AH75" i="1" s="1"/>
  <c r="S87" i="1"/>
  <c r="R87" i="1"/>
  <c r="H87" i="1"/>
  <c r="I87" i="1" s="1"/>
  <c r="K87" i="1" s="1"/>
  <c r="AG56" i="1" a="1"/>
  <c r="AG56" i="1" s="1"/>
  <c r="AF56" i="1" s="1" a="1"/>
  <c r="AF56" i="1" s="1"/>
  <c r="AH56" i="1" s="1" a="1"/>
  <c r="AH56" i="1" s="1"/>
  <c r="AG57" i="1" a="1"/>
  <c r="AG57" i="1" s="1"/>
  <c r="AF57" i="1" s="1" a="1"/>
  <c r="AF57" i="1" s="1"/>
  <c r="AH57" i="1" s="1" a="1"/>
  <c r="AH57" i="1" s="1"/>
  <c r="AG58" i="1" a="1"/>
  <c r="AG58" i="1" s="1"/>
  <c r="AF58" i="1" s="1" a="1"/>
  <c r="AF58" i="1" s="1"/>
  <c r="AH58" i="1" s="1" a="1"/>
  <c r="AH58" i="1" s="1"/>
  <c r="P59" i="1"/>
  <c r="I76" i="1"/>
  <c r="K88" i="1"/>
  <c r="AD81" i="1"/>
  <c r="L59" i="1"/>
  <c r="S84" i="1"/>
  <c r="AG86" i="1" a="1"/>
  <c r="AG86" i="1" s="1"/>
  <c r="AF86" i="1" s="1" a="1"/>
  <c r="AF86" i="1" s="1"/>
  <c r="AH86" i="1" s="1" a="1"/>
  <c r="AH86" i="1" s="1"/>
  <c r="P86" i="1"/>
  <c r="H86" i="1"/>
  <c r="I86" i="1" s="1"/>
  <c r="R91" i="1"/>
  <c r="I89" i="1"/>
  <c r="AG91" i="1" a="1"/>
  <c r="AG91" i="1" s="1"/>
  <c r="AF91" i="1" s="1" a="1"/>
  <c r="AF91" i="1" s="1"/>
  <c r="AH91" i="1" s="1" a="1"/>
  <c r="AH91" i="1" s="1"/>
  <c r="P91" i="1"/>
  <c r="H91" i="1"/>
  <c r="I91" i="1" s="1"/>
  <c r="K91" i="1" s="1"/>
  <c r="R94" i="1"/>
  <c r="J94" i="1"/>
  <c r="AG94" i="1" a="1"/>
  <c r="AG94" i="1" s="1"/>
  <c r="AF94" i="1" s="1" a="1"/>
  <c r="AF94" i="1" s="1"/>
  <c r="AH94" i="1" s="1" a="1"/>
  <c r="AH94" i="1" s="1"/>
  <c r="P94" i="1"/>
  <c r="H94" i="1"/>
  <c r="I94" i="1" s="1"/>
  <c r="AG73" i="1" a="1"/>
  <c r="AG73" i="1" s="1"/>
  <c r="AF73" i="1" s="1" a="1"/>
  <c r="AF73" i="1" s="1"/>
  <c r="AH73" i="1" s="1" a="1"/>
  <c r="AH73" i="1" s="1"/>
  <c r="P73" i="1"/>
  <c r="H73" i="1"/>
  <c r="I73" i="1" s="1"/>
  <c r="K73" i="1" s="1"/>
  <c r="J83" i="1"/>
  <c r="L83" i="1" s="1"/>
  <c r="AG83" i="1" a="1"/>
  <c r="AG83" i="1" s="1"/>
  <c r="AF83" i="1" s="1" a="1"/>
  <c r="AF83" i="1" s="1"/>
  <c r="AH83" i="1" s="1" a="1"/>
  <c r="AH83" i="1" s="1"/>
  <c r="R84" i="1"/>
  <c r="R86" i="1"/>
  <c r="L88" i="1"/>
  <c r="S88" i="1"/>
  <c r="R90" i="1"/>
  <c r="J90" i="1"/>
  <c r="AG90" i="1" a="1"/>
  <c r="AG90" i="1" s="1"/>
  <c r="AF90" i="1" s="1" a="1"/>
  <c r="AF90" i="1" s="1"/>
  <c r="AH90" i="1" s="1" a="1"/>
  <c r="AH90" i="1" s="1"/>
  <c r="P90" i="1"/>
  <c r="H90" i="1"/>
  <c r="I90" i="1" s="1"/>
  <c r="W96" i="1"/>
  <c r="X96" i="1" s="1"/>
  <c r="E96" i="1"/>
  <c r="AD96" i="1"/>
  <c r="S96" i="1"/>
  <c r="G96" i="1"/>
  <c r="I96" i="1" s="1"/>
  <c r="L96" i="1" s="1"/>
  <c r="P96" i="1"/>
  <c r="U96" i="1"/>
  <c r="B96" i="1"/>
  <c r="AG96" i="1" s="1" a="1"/>
  <c r="AG96" i="1" s="1"/>
  <c r="AF96" i="1" s="1" a="1"/>
  <c r="AF96" i="1" s="1"/>
  <c r="AH96" i="1" s="1" a="1"/>
  <c r="AH96" i="1" s="1"/>
  <c r="L79" i="1"/>
  <c r="AG80" i="1" a="1"/>
  <c r="AG80" i="1" s="1"/>
  <c r="AF80" i="1" s="1" a="1"/>
  <c r="AF80" i="1" s="1"/>
  <c r="AH80" i="1" s="1" a="1"/>
  <c r="AH80" i="1" s="1"/>
  <c r="P80" i="1"/>
  <c r="H80" i="1"/>
  <c r="I80" i="1" s="1"/>
  <c r="K80" i="1" s="1"/>
  <c r="H84" i="1"/>
  <c r="I84" i="1" s="1"/>
  <c r="I85" i="1"/>
  <c r="J86" i="1"/>
  <c r="S86" i="1"/>
  <c r="L92" i="1"/>
  <c r="C96" i="1"/>
  <c r="R96" i="1"/>
  <c r="J81" i="1"/>
  <c r="L81" i="1" s="1"/>
  <c r="R81" i="1"/>
  <c r="J92" i="1"/>
  <c r="K92" i="1" s="1"/>
  <c r="R92" i="1"/>
  <c r="AG95" i="1" a="1"/>
  <c r="AG95" i="1" s="1"/>
  <c r="AF95" i="1" s="1" a="1"/>
  <c r="AF95" i="1" s="1"/>
  <c r="AH95" i="1" s="1" a="1"/>
  <c r="AH95" i="1" s="1"/>
  <c r="P95" i="1"/>
  <c r="H95" i="1"/>
  <c r="I95" i="1" s="1"/>
  <c r="J95" i="1"/>
  <c r="S95" i="1"/>
  <c r="J85" i="1"/>
  <c r="R85" i="1"/>
  <c r="J89" i="1"/>
  <c r="R89" i="1"/>
  <c r="L68" i="1"/>
  <c r="K23" i="1" l="1"/>
  <c r="L23" i="1"/>
  <c r="L28" i="1"/>
  <c r="K27" i="1"/>
  <c r="K78" i="1"/>
  <c r="L65" i="1"/>
  <c r="K26" i="1"/>
  <c r="L26" i="1"/>
  <c r="L86" i="1"/>
  <c r="K70" i="1"/>
  <c r="K49" i="1"/>
  <c r="K6" i="1"/>
  <c r="K61" i="1"/>
  <c r="L80" i="1"/>
  <c r="K21" i="1"/>
  <c r="L21" i="1"/>
  <c r="L91" i="1"/>
  <c r="L2" i="1"/>
  <c r="K83" i="1"/>
  <c r="K77" i="1"/>
  <c r="L78" i="1"/>
  <c r="L5" i="1"/>
  <c r="L52" i="1"/>
  <c r="L56" i="1"/>
  <c r="K54" i="1"/>
  <c r="L54" i="1"/>
  <c r="K7" i="1"/>
  <c r="L7" i="1"/>
  <c r="K64" i="1"/>
  <c r="L64" i="1"/>
  <c r="K56" i="1"/>
  <c r="L74" i="1"/>
  <c r="L87" i="1"/>
  <c r="L95" i="1"/>
  <c r="K86" i="1"/>
  <c r="K19" i="1"/>
  <c r="K8" i="1"/>
  <c r="K62" i="1"/>
  <c r="L16" i="1"/>
  <c r="K94" i="1"/>
  <c r="L12" i="1"/>
  <c r="K3" i="1"/>
  <c r="K58" i="1"/>
  <c r="K93" i="1"/>
  <c r="L93" i="1"/>
  <c r="K13" i="1"/>
  <c r="L13" i="1"/>
  <c r="K67" i="1"/>
  <c r="L67" i="1"/>
  <c r="K39" i="1"/>
  <c r="L39" i="1"/>
  <c r="K15" i="1"/>
  <c r="L15" i="1"/>
  <c r="K84" i="1"/>
  <c r="L84" i="1"/>
  <c r="L90" i="1"/>
  <c r="K90" i="1"/>
  <c r="K75" i="1"/>
  <c r="L75" i="1"/>
  <c r="K38" i="1"/>
  <c r="L38" i="1"/>
  <c r="K46" i="1"/>
  <c r="L46" i="1"/>
  <c r="K30" i="1"/>
  <c r="L30" i="1"/>
  <c r="K40" i="1"/>
  <c r="L40" i="1"/>
  <c r="K35" i="1"/>
  <c r="L35" i="1"/>
  <c r="L34" i="1"/>
  <c r="K34" i="1"/>
  <c r="K45" i="1"/>
  <c r="L45" i="1"/>
  <c r="K17" i="1"/>
  <c r="L17" i="1"/>
  <c r="K4" i="1"/>
  <c r="L4" i="1"/>
  <c r="K11" i="1"/>
  <c r="L11" i="1"/>
  <c r="L14" i="1"/>
  <c r="K14" i="1"/>
  <c r="K25" i="1"/>
  <c r="L25" i="1"/>
  <c r="L70" i="1"/>
  <c r="L10" i="1"/>
  <c r="L20" i="1"/>
  <c r="K43" i="1"/>
  <c r="K81" i="1"/>
  <c r="K37" i="1"/>
  <c r="L37" i="1"/>
  <c r="L31" i="1"/>
  <c r="K16" i="1"/>
  <c r="K28" i="1"/>
  <c r="K85" i="1"/>
  <c r="L85" i="1"/>
  <c r="K96" i="1"/>
  <c r="L55" i="1"/>
  <c r="K55" i="1"/>
  <c r="L36" i="1"/>
  <c r="K65" i="1"/>
  <c r="K89" i="1"/>
  <c r="L89" i="1"/>
  <c r="K76" i="1"/>
  <c r="L76" i="1"/>
  <c r="K95" i="1"/>
  <c r="K44" i="1"/>
  <c r="L18" i="1"/>
  <c r="K18" i="1"/>
  <c r="L3" i="1"/>
  <c r="L19" i="1"/>
  <c r="K63" i="1"/>
  <c r="L63" i="1"/>
  <c r="K32" i="1"/>
  <c r="L32" i="1"/>
  <c r="L61" i="1"/>
  <c r="L49" i="1"/>
  <c r="K33" i="1"/>
  <c r="L53" i="1"/>
  <c r="L69" i="1"/>
  <c r="K69" i="1"/>
  <c r="L73" i="1"/>
  <c r="L94" i="1"/>
  <c r="L77" i="1"/>
  <c r="K66" i="1"/>
  <c r="L66" i="1"/>
  <c r="L51" i="1"/>
  <c r="L47" i="1"/>
  <c r="K24" i="1"/>
  <c r="L24" i="1"/>
  <c r="L62"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<sst xmlns="http://schemas.openxmlformats.org/spreadsheetml/2006/main" count="329" uniqueCount="157">
  <si>
    <t>Nº. CONTRATO</t>
  </si>
  <si>
    <t>NOMBRE DEL CONTRATISTA</t>
  </si>
  <si>
    <t>MODALIDAD</t>
  </si>
  <si>
    <t>PROCESO SECOP II</t>
  </si>
  <si>
    <t>OBJETO</t>
  </si>
  <si>
    <t>PRESUPUESTO INICIAL</t>
  </si>
  <si>
    <t>VALOR ADJUDICADO (VALOR INICIAL DEL CONTRATO)</t>
  </si>
  <si>
    <t>ADICIÓN / REDUCCIÓN</t>
  </si>
  <si>
    <t>VALOR ACTUAL DEL CONTRATO</t>
  </si>
  <si>
    <t>VALOR PAGADO (Info ejecución secop II o TVEC a corte del 30 mes anterior)</t>
  </si>
  <si>
    <t>RECURSOS PTES POR PAGAR</t>
  </si>
  <si>
    <t>EJECUCIÓN PRESUPUESTAL</t>
  </si>
  <si>
    <t>Fecha de firma del contrato</t>
  </si>
  <si>
    <t>Fecha de Inicio del Contrato (ACTA DE INICIO)</t>
  </si>
  <si>
    <t>Fecha Fin del contrato</t>
  </si>
  <si>
    <t>FECHA DE PRORROGA (HASTA)/FEHA DE TERMINACIÓN ANTICIPADA</t>
  </si>
  <si>
    <t>TIPO DE CONTRATO</t>
  </si>
  <si>
    <t>DESTINO DEL GASTO</t>
  </si>
  <si>
    <t>LINK DEL PROCESO</t>
  </si>
  <si>
    <t>ESTADO</t>
  </si>
  <si>
    <t>PN/PJ</t>
  </si>
  <si>
    <t>COORDINACIÓN</t>
  </si>
  <si>
    <t>SUPERVISOR</t>
  </si>
  <si>
    <t>NÚM ID SUPERVISOR</t>
  </si>
  <si>
    <t>TIPO ID PROVEEDOR</t>
  </si>
  <si>
    <t>NUM. ID PROVEEDOR</t>
  </si>
  <si>
    <t>DV</t>
  </si>
  <si>
    <t>CÓDIGO SECOP</t>
  </si>
  <si>
    <t>JOVEN MENOR DE 28 AÑOS</t>
  </si>
  <si>
    <t>PLAZO DEL CONTRATO (EN DÍAS)</t>
  </si>
  <si>
    <t>RUBRO</t>
  </si>
  <si>
    <t>CDP</t>
  </si>
  <si>
    <t>RP</t>
  </si>
  <si>
    <t>FECHA EXPEDICIÓN CDP</t>
  </si>
  <si>
    <t>CONTRATACION DIRECTA 1 DE 2026</t>
  </si>
  <si>
    <t>CC</t>
  </si>
  <si>
    <t>N/A</t>
  </si>
  <si>
    <t>Inversión misional</t>
  </si>
  <si>
    <t>CONTRATACION DIRECTA 2 DE 2026</t>
  </si>
  <si>
    <t>CONTRATACION DIRECTA 3 DE 2026</t>
  </si>
  <si>
    <t>CONTRATACION DIRECTA 4 DE 2026</t>
  </si>
  <si>
    <t>CONTRATACION DIRECTA 5 DE 2026</t>
  </si>
  <si>
    <t>CONTRATACION DIRECTA 6 DE 2026</t>
  </si>
  <si>
    <t>CONTRATACION DIRECTA 7 DE 2026</t>
  </si>
  <si>
    <t>CONTRATACION DIRECTA 8 DE 2026</t>
  </si>
  <si>
    <t>CONTRATACION DIRECTA 9 DE 2026</t>
  </si>
  <si>
    <t>Funcionamiento</t>
  </si>
  <si>
    <t>CONTRATACION DIRECTA 10 DE 2026</t>
  </si>
  <si>
    <t>LILIANA ROMERO SAAVEDRA</t>
  </si>
  <si>
    <t>CONTRATACION DIRECTA 11 DE 2026</t>
  </si>
  <si>
    <t>CONTRATACION DIRECTA 12 DE 2026</t>
  </si>
  <si>
    <t>FABIO EDUARDO VÁSQUEZ HENAO</t>
  </si>
  <si>
    <t>CONTRATACION DIRECTA 13 DE 2026</t>
  </si>
  <si>
    <t>JUAN SEBASTIAN SALAMANCA CALLE</t>
  </si>
  <si>
    <t>CONTRATACION DIRECTA 14 DE 2026</t>
  </si>
  <si>
    <t>CONTRATACION DIRECTA 15 DE 2026</t>
  </si>
  <si>
    <t>CONTRATACION DIRECTA 16 DE 2026</t>
  </si>
  <si>
    <t>NIT</t>
  </si>
  <si>
    <t>Inversión TSI</t>
  </si>
  <si>
    <t>LUIS CARLOS CUBILLOS MELLAO</t>
  </si>
  <si>
    <t>CONTRATACION DIRECTA 17 DE 2026</t>
  </si>
  <si>
    <t>CONTRATACION DIRECTA 18 DE 2026</t>
  </si>
  <si>
    <t>CONTRATACION DIRECTA 19 DE 2026</t>
  </si>
  <si>
    <t>CONTRATACION DIRECTA 20 DE 2026</t>
  </si>
  <si>
    <t>JULIANA VINASCO ZAPATA</t>
  </si>
  <si>
    <t>CONTRATACION DIRECTA 21 DE 2026</t>
  </si>
  <si>
    <t>LILIAM AMPARO CUBILLOS</t>
  </si>
  <si>
    <t>CONTRATACION DIRECTA 22 DE 2026</t>
  </si>
  <si>
    <t>MÓNICA TATIANA MOJÍCA LIZARAZO</t>
  </si>
  <si>
    <t>CONTRATACION DIRECTA 23 DE 2026</t>
  </si>
  <si>
    <t>ANA BEATRIZ RUIZ ERAZO</t>
  </si>
  <si>
    <t>CONTRATACION DIRECTA 24 DE 2026</t>
  </si>
  <si>
    <t>GUILLERMO ALBERTO CRUZ ALEMÁN</t>
  </si>
  <si>
    <t>CONTRATACION DIRECTA 25 DE 2026</t>
  </si>
  <si>
    <t>Prestación de servicios profesionales altamente especializados en materia de economía y regulación de mercados de telecomunicaciones; para apoyar la ejecución de proyectos del pilar estratégico Mercados y Competencia» de la Agenda Regulatoria 2026-2027; tales como la revisión de mercados fijos; tele</t>
  </si>
  <si>
    <t>CONTRATACION DIRECTA 26 DE 2026</t>
  </si>
  <si>
    <t>CONTRATACION DIRECTA 27 DE 2026</t>
  </si>
  <si>
    <t>CONTRATACION DIRECTA 28 DE 2026</t>
  </si>
  <si>
    <t>CONTRATACION DIRECTA 29 DE 2026</t>
  </si>
  <si>
    <t>CONTRATACION DIRECTA 30 DE 2026</t>
  </si>
  <si>
    <t>CONTRATACION DIRECTA 31 DE 2026</t>
  </si>
  <si>
    <t>B48.6346276</t>
  </si>
  <si>
    <t>CONTRATACION DIRECTA 32 DE 2026</t>
  </si>
  <si>
    <t>CONTRATACION DIRECTA 33 DE 2026</t>
  </si>
  <si>
    <t>52OO36679</t>
  </si>
  <si>
    <t>CONTRATACION DIRECTA 34 DE 2026</t>
  </si>
  <si>
    <t>ALVARO JOSÉ RIASCOS VILLEGAS</t>
  </si>
  <si>
    <t>CONTRATACION DIRECTA 35 DE 2026</t>
  </si>
  <si>
    <t>CONTRATACION DIRECTA 36 DE 2026</t>
  </si>
  <si>
    <t>CONTRATACION DIRECTA 37 DE 2026</t>
  </si>
  <si>
    <t>CONTRATACION DIRECTA 38 DE 2026</t>
  </si>
  <si>
    <t>CONTRATACION DIRECTA 39 DE 2026</t>
  </si>
  <si>
    <t>CONTRATACION DIRECTA 40 DE 2026</t>
  </si>
  <si>
    <t>JUAN MANUEL ROLDAN PEREA</t>
  </si>
  <si>
    <t>CONTRATACION DIRECTA 41 DE 2026</t>
  </si>
  <si>
    <t>CONTRATACIÓN DIRECTA 43 DE 2026</t>
  </si>
  <si>
    <t>CONTRATACIÓN DIRECTA 44 DE 2026</t>
  </si>
  <si>
    <t>CONTRATACION DIRECTA 50 DE 2026</t>
  </si>
  <si>
    <t>CAMILO ERNESTO VALENCIA SUESCÚN</t>
  </si>
  <si>
    <t>CONTRATACION DIRECTA 45 DE 2026</t>
  </si>
  <si>
    <t>JORGE SANTOS RODRIGUEZ</t>
  </si>
  <si>
    <t>CONTRATACION DIRECTA 46 DE 2026</t>
  </si>
  <si>
    <t>CONTRATACION DIRECTA 47 DE 2026</t>
  </si>
  <si>
    <t>CONTRATACION DIRECTA 51 DE 2026</t>
  </si>
  <si>
    <t>CONTRATACIÓN DIRECTA 52 DE 2026</t>
  </si>
  <si>
    <t>CONTRATACIÓN DIRECTA 53 DE 2026</t>
  </si>
  <si>
    <t>CONTRATACION DIRECTA 57 DE 2026</t>
  </si>
  <si>
    <t>CONTRATACIÓN DIRECTA 54 DE 2026</t>
  </si>
  <si>
    <t>CONTRATACION DIRECTA 56 DE 2026</t>
  </si>
  <si>
    <t>CONTRATACIÓN DIRECTA 55 DE 2026</t>
  </si>
  <si>
    <t>CONTRATACIÓN DIRECTA 59 DE 2026</t>
  </si>
  <si>
    <t>MINIMA CUANTIA 49 DE 2026</t>
  </si>
  <si>
    <t>SUBASTA INVERSA 42 DE 2026</t>
  </si>
  <si>
    <t>MINIMA CUANTIA 48 DE 2026</t>
  </si>
  <si>
    <t>MÍNIMA CUANTÍA 59 DE 2026</t>
  </si>
  <si>
    <t>PMC 61 DE 2026</t>
  </si>
  <si>
    <t>MÍNIMA CUANTÍA 60 DE 2026</t>
  </si>
  <si>
    <t>MINIMA CUANTIA 62 DE 2025</t>
  </si>
  <si>
    <t>MINIMA CUANTIA 65 DE 2026</t>
  </si>
  <si>
    <t>MINIMA CUANTIA 64 DE 2026</t>
  </si>
  <si>
    <t>MÍNIMA CUANTÍA 67 DE 2026</t>
  </si>
  <si>
    <t>MINIMA CUANTIA 68 DE 2026</t>
  </si>
  <si>
    <t>Orden de compra 162532</t>
  </si>
  <si>
    <t>PRESTACIÓN DE SERVICIOS</t>
  </si>
  <si>
    <t>https://operaciones.colombiacompra.gov.co/tienda-virtual-del-estado-colombiano/ordenes-compra/162532</t>
  </si>
  <si>
    <t>En ejecución</t>
  </si>
  <si>
    <t>MÍNIMA CUANTÍA 72 DE 2026</t>
  </si>
  <si>
    <t>MINIMA CUANTIA 71 DE 2025</t>
  </si>
  <si>
    <t>MÍNIMA CUANTÍA 73 DE 2026</t>
  </si>
  <si>
    <t>Orden de compra 163478</t>
  </si>
  <si>
    <t>Inversión</t>
  </si>
  <si>
    <t>https://operaciones.colombiacompra.gov.co/tienda-virtual-del-estado-colombiano/ordenes-compra/163478</t>
  </si>
  <si>
    <t>LICITACIÓN PÚBLICA 63 DE 2026</t>
  </si>
  <si>
    <t>CONCURSO DE MERITOS 70 DE 2026</t>
  </si>
  <si>
    <t>CONCURSO DE MERITOS 69 DE 2025</t>
  </si>
  <si>
    <t>MINIMA CUANTIA 78 DE 2026</t>
  </si>
  <si>
    <t>CONTRATACION DIRECTA 82 DE 2026</t>
  </si>
  <si>
    <t xml:space="preserve">SAM 76 DE 2026 </t>
  </si>
  <si>
    <t>Orden de compra 166465</t>
  </si>
  <si>
    <t>https://operaciones.colombiacompra.gov.co/tienda-virtual-del-estado-colombiano/ordenes-compra/166465</t>
  </si>
  <si>
    <t>CONCURSO DE MÉRITOS 80 DE 2026</t>
  </si>
  <si>
    <t>CONTRATACIÓN DIRECTA 89 DE 2026</t>
  </si>
  <si>
    <t>CONTRATACIÓN DIRECTA 90 DE 2026</t>
  </si>
  <si>
    <t>MÍNIMA CUANTÍA 84 DE 2026</t>
  </si>
  <si>
    <t>SAM 79 DE 2026</t>
  </si>
  <si>
    <t>CONTRATACIÓN DIRECTA 91 DE 2026</t>
  </si>
  <si>
    <t>CONTRATACIÓN DIRECTA 92 DE 2026</t>
  </si>
  <si>
    <t>CONTRATACIÓN DIRECTA 95 DE 2026</t>
  </si>
  <si>
    <t>SAM 81 DE 2026</t>
  </si>
  <si>
    <t>MÍNIMA CUANTÍA 83 DE 2026</t>
  </si>
  <si>
    <t>Prestación de servicios profesionales o Apoyo a la gestión</t>
  </si>
  <si>
    <t>CONTRATACIÓN DIRECTA 94 DE 2026</t>
  </si>
  <si>
    <t>MÍNIMA CUANTÍA 86 DE 2026</t>
  </si>
  <si>
    <t>CONTRATACIÓN DIRECTA 93 DE 2026</t>
  </si>
  <si>
    <t>09/29/2026</t>
  </si>
  <si>
    <t>12/14/2026</t>
  </si>
  <si>
    <t>Contrato cancelado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</si>
</sst>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6" formatCode="&quot;$&quot;\ #,##0;[Red]\-&quot;$&quot;\ #,##0"/>
    <numFmt numFmtId="164" formatCode="_-[$$-409]* #,##0.00_ ;_-[$$-409]* \-#,##0.00\ ;_-[$$-409]* &quot;-&quot;??_ ;_-@_ "/>
    <numFmt numFmtId="165" formatCode="[$$-240A]\ #,##0"/>
    <numFmt numFmtId="166" formatCode="&quot;$&quot;#,##0.00;\(&quot;$&quot;#,##0.00\);&quot;-&quot;"/>
    <numFmt numFmtId="168" formatCode="&quot;$&quot;#,##0_);[Red]\(&quot;$&quot;#,##0\)"/>
  </numFmts>
  <fonts count="15" x14ac:knownFonts="1">
    <font>
      <sz val="11"/>
      <color theme="1"/>
      <name val="Calibri"/>
      <family val="2"/>
      <scheme val="minor"/>
    </font>
    <font>
      <sz val="11"/>
      <color theme="1"/>
      <name val="Calibri"/>
      <family val="2"/>
      <scheme val="minor"/>
    </font>
    <font>
      <u/>
      <sz val="11"/>
      <color theme="10"/>
      <name val="Calibri"/>
      <family val="2"/>
      <scheme val="minor"/>
    </font>
    <font>
      <b/>
      <sz val="10"/>
      <color theme="0"/>
      <name val="Tahoma"/>
      <family val="2"/>
    </font>
    <font>
      <b/>
      <sz val="10"/>
      <color rgb="FFFF0000"/>
      <name val="Tahoma"/>
      <family val="2"/>
    </font>
    <font>
      <sz val="11"/>
      <color theme="0"/>
      <name val="Calibri Light"/>
      <family val="2"/>
      <scheme val="major"/>
    </font>
    <font>
      <sz val="10"/>
      <color theme="1"/>
      <name val="Tahoma"/>
      <family val="2"/>
    </font>
    <font>
      <b/>
      <sz val="10"/>
      <color rgb="FF000000"/>
      <name val="Tahoma"/>
      <family val="2"/>
    </font>
    <font>
      <b/>
      <sz val="10"/>
      <color rgb="FF008000"/>
      <name val="Tahoma"/>
      <family val="2"/>
    </font>
    <font>
      <sz val="10"/>
      <color rgb="FF000000"/>
      <name val="Tahoma"/>
      <family val="2"/>
    </font>
    <font>
      <sz val="10"/>
      <color rgb="FF008000"/>
      <name val="Tahoma"/>
      <family val="2"/>
    </font>
    <font>
      <u/>
      <sz val="10"/>
      <color rgb="FF008000"/>
      <name val="Tahoma"/>
      <family val="2"/>
    </font>
    <font>
      <u/>
      <sz val="11"/>
      <color rgb="FF008000"/>
      <name val="Calibri"/>
      <family val="2"/>
      <scheme val="minor"/>
    </font>
    <font>
      <sz val="14"/>
      <color theme="1"/>
      <name val="Calibri"/>
      <family val="2"/>
      <scheme val="minor"/>
    </font>
    <font>
      <b/>
      <sz val="11"/>
      <color rgb="FFFF0000"/>
      <name val="Calibri Light"/>
      <family val="2"/>
      <scheme val="major"/>
    </font>
  </fonts>
  <fills count="9">
    <fill>
      <patternFill patternType="none"/>
    </fill>
    <fill>
      <patternFill patternType="gray125"/>
    </fill>
    <fill>
      <patternFill patternType="solid">
        <fgColor indexed="54"/>
      </patternFill>
    </fill>
    <fill>
      <patternFill patternType="solid">
        <fgColor rgb="FF7575A3"/>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000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8"/>
      </left>
      <right/>
      <top style="thin">
        <color indexed="8"/>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59">
    <xf numFmtId="0" fontId="0" fillId="0" borderId="0" xfId="0"/>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6" fontId="7" fillId="5" borderId="1" xfId="0" applyNumberFormat="1" applyFont="1" applyFill="1" applyBorder="1" applyAlignment="1">
      <alignment horizontal="right" vertical="center"/>
    </xf>
    <xf numFmtId="6" fontId="7" fillId="0" borderId="1" xfId="0" applyNumberFormat="1" applyFont="1" applyBorder="1" applyAlignment="1">
      <alignment horizontal="right" vertical="center"/>
    </xf>
    <xf numFmtId="165" fontId="7" fillId="0" borderId="1" xfId="0" applyNumberFormat="1" applyFont="1" applyBorder="1" applyAlignment="1">
      <alignment horizontal="right" vertical="center"/>
    </xf>
    <xf numFmtId="166" fontId="8" fillId="6" borderId="1" xfId="0" applyNumberFormat="1" applyFont="1" applyFill="1" applyBorder="1" applyAlignment="1">
      <alignment horizontal="right" vertical="center"/>
    </xf>
    <xf numFmtId="166" fontId="7" fillId="0" borderId="1" xfId="0" applyNumberFormat="1" applyFont="1" applyBorder="1" applyAlignment="1">
      <alignment horizontal="right" vertical="center"/>
    </xf>
    <xf numFmtId="10" fontId="7" fillId="0" borderId="1" xfId="1" applyNumberFormat="1" applyFont="1" applyFill="1" applyBorder="1" applyAlignment="1">
      <alignment horizontal="right" vertical="center"/>
    </xf>
    <xf numFmtId="14" fontId="9" fillId="0" borderId="1" xfId="0" applyNumberFormat="1" applyFont="1" applyBorder="1" applyAlignment="1">
      <alignment horizontal="center" vertical="center" wrapText="1"/>
    </xf>
    <xf numFmtId="14" fontId="10" fillId="7" borderId="1" xfId="0" applyNumberFormat="1" applyFont="1" applyFill="1" applyBorder="1" applyAlignment="1">
      <alignment horizontal="center" vertical="center" wrapText="1"/>
    </xf>
    <xf numFmtId="0" fontId="10" fillId="7" borderId="1" xfId="0" applyFont="1" applyFill="1" applyBorder="1" applyAlignment="1">
      <alignment horizontal="center" vertical="center"/>
    </xf>
    <xf numFmtId="0" fontId="11" fillId="7" borderId="1" xfId="3" applyFont="1" applyFill="1" applyBorder="1" applyAlignment="1">
      <alignment horizontal="center" vertical="center" wrapText="1"/>
    </xf>
    <xf numFmtId="0" fontId="10" fillId="7" borderId="1" xfId="0" applyFont="1" applyFill="1" applyBorder="1" applyAlignment="1">
      <alignment horizontal="center" vertical="center" wrapText="1"/>
    </xf>
    <xf numFmtId="0" fontId="6" fillId="0" borderId="3" xfId="0" applyFont="1" applyBorder="1" applyAlignment="1">
      <alignment horizontal="center" vertical="center" wrapText="1"/>
    </xf>
    <xf numFmtId="1" fontId="7" fillId="0" borderId="1" xfId="0" applyNumberFormat="1" applyFont="1" applyBorder="1" applyAlignment="1">
      <alignment horizontal="right" vertical="center" wrapText="1"/>
    </xf>
    <xf numFmtId="1" fontId="7" fillId="0" borderId="3" xfId="0" applyNumberFormat="1" applyFont="1" applyBorder="1" applyAlignment="1">
      <alignment horizontal="center" vertical="center"/>
    </xf>
    <xf numFmtId="0" fontId="9" fillId="7" borderId="3" xfId="0" applyFont="1" applyFill="1" applyBorder="1" applyAlignment="1">
      <alignment horizontal="right" vertical="center" wrapText="1"/>
    </xf>
    <xf numFmtId="0" fontId="9" fillId="7" borderId="3" xfId="0" applyFont="1" applyFill="1" applyBorder="1" applyAlignment="1">
      <alignment horizontal="center" vertical="center" wrapText="1"/>
    </xf>
    <xf numFmtId="0" fontId="9" fillId="7" borderId="1" xfId="0" applyFont="1" applyFill="1" applyBorder="1" applyAlignment="1">
      <alignment horizontal="center" vertical="center" wrapText="1"/>
    </xf>
    <xf numFmtId="1" fontId="7" fillId="0" borderId="4" xfId="0" applyNumberFormat="1" applyFont="1" applyBorder="1" applyAlignment="1">
      <alignment horizontal="center" vertical="center"/>
    </xf>
    <xf numFmtId="0" fontId="0" fillId="0" borderId="4" xfId="0" applyBorder="1" applyAlignment="1">
      <alignment horizontal="center" vertical="center" wrapText="1"/>
    </xf>
    <xf numFmtId="0" fontId="9" fillId="7" borderId="1" xfId="0" applyFont="1" applyFill="1" applyBorder="1" applyAlignment="1">
      <alignment horizontal="center" vertical="center"/>
    </xf>
    <xf numFmtId="14" fontId="9" fillId="7" borderId="1" xfId="0" applyNumberFormat="1" applyFont="1" applyFill="1" applyBorder="1" applyAlignment="1">
      <alignment horizontal="center" vertical="center"/>
    </xf>
    <xf numFmtId="0" fontId="0" fillId="0" borderId="0" xfId="0" applyAlignment="1">
      <alignment horizontal="center" vertical="center" wrapText="1"/>
    </xf>
    <xf numFmtId="0" fontId="12" fillId="7" borderId="1" xfId="2" applyFont="1" applyFill="1" applyBorder="1" applyAlignment="1">
      <alignment horizontal="center" vertical="center" wrapText="1"/>
    </xf>
    <xf numFmtId="0" fontId="9" fillId="0" borderId="3" xfId="0" applyFont="1" applyBorder="1" applyAlignment="1">
      <alignment horizontal="right" vertical="center" wrapText="1"/>
    </xf>
    <xf numFmtId="3" fontId="9" fillId="0" borderId="3" xfId="0" applyNumberFormat="1" applyFont="1" applyBorder="1" applyAlignment="1">
      <alignment horizontal="right" vertical="center" wrapText="1"/>
    </xf>
    <xf numFmtId="3" fontId="9" fillId="7" borderId="3" xfId="0" applyNumberFormat="1" applyFont="1" applyFill="1" applyBorder="1" applyAlignment="1">
      <alignment horizontal="right" vertical="center" wrapText="1"/>
    </xf>
    <xf numFmtId="166" fontId="7" fillId="6" borderId="1" xfId="0" applyNumberFormat="1" applyFont="1" applyFill="1" applyBorder="1" applyAlignment="1">
      <alignment horizontal="right" vertical="center"/>
    </xf>
    <xf numFmtId="14" fontId="9" fillId="7" borderId="1" xfId="0" applyNumberFormat="1" applyFont="1" applyFill="1" applyBorder="1" applyAlignment="1">
      <alignment horizontal="center" vertical="center" wrapText="1"/>
    </xf>
    <xf numFmtId="0" fontId="2" fillId="7" borderId="1" xfId="2" applyFill="1" applyBorder="1" applyAlignment="1">
      <alignment horizontal="center" vertical="center" wrapText="1"/>
    </xf>
    <xf numFmtId="0" fontId="6" fillId="7" borderId="1" xfId="0" applyFont="1" applyFill="1" applyBorder="1" applyAlignment="1">
      <alignment horizontal="center" vertical="center" wrapText="1"/>
    </xf>
    <xf numFmtId="168" fontId="7" fillId="5" borderId="1" xfId="0" applyNumberFormat="1" applyFont="1" applyFill="1" applyBorder="1" applyAlignment="1">
      <alignment horizontal="right" vertical="center"/>
    </xf>
    <xf numFmtId="0" fontId="3" fillId="8"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1" xfId="0" applyFont="1" applyFill="1" applyBorder="1" applyAlignment="1">
      <alignment horizontal="left" vertical="center" wrapText="1"/>
    </xf>
    <xf numFmtId="168" fontId="7" fillId="8" borderId="1" xfId="0" applyNumberFormat="1" applyFont="1" applyFill="1" applyBorder="1" applyAlignment="1">
      <alignment horizontal="right" vertical="center"/>
    </xf>
    <xf numFmtId="6" fontId="7" fillId="8" borderId="1" xfId="0" applyNumberFormat="1" applyFont="1" applyFill="1" applyBorder="1" applyAlignment="1">
      <alignment horizontal="right" vertical="center"/>
    </xf>
    <xf numFmtId="165" fontId="7" fillId="8" borderId="1" xfId="0" applyNumberFormat="1" applyFont="1" applyFill="1" applyBorder="1" applyAlignment="1">
      <alignment horizontal="right" vertical="center"/>
    </xf>
    <xf numFmtId="166" fontId="8" fillId="5" borderId="1" xfId="0" applyNumberFormat="1" applyFont="1" applyFill="1" applyBorder="1" applyAlignment="1">
      <alignment horizontal="right" vertical="center"/>
    </xf>
    <xf numFmtId="0" fontId="13"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164" fontId="6" fillId="0" borderId="0" xfId="0" applyNumberFormat="1" applyFont="1" applyAlignment="1">
      <alignment horizontal="right" vertical="center" wrapText="1"/>
    </xf>
    <xf numFmtId="0" fontId="0" fillId="0" borderId="0" xfId="0" applyAlignment="1">
      <alignment horizontal="right" vertical="center" wrapText="1"/>
    </xf>
    <xf numFmtId="10" fontId="6" fillId="0" borderId="0" xfId="0" applyNumberFormat="1" applyFont="1" applyAlignment="1">
      <alignment horizontal="right" vertical="center" wrapText="1"/>
    </xf>
    <xf numFmtId="0" fontId="14" fillId="4" borderId="1" xfId="0" applyFont="1" applyFill="1" applyBorder="1" applyAlignment="1">
      <alignment horizontal="center" vertical="center" wrapText="1"/>
    </xf>
    <xf numFmtId="166" fontId="7" fillId="8" borderId="5" xfId="0" applyNumberFormat="1" applyFont="1" applyFill="1" applyBorder="1" applyAlignment="1">
      <alignment horizontal="center" vertical="center"/>
    </xf>
    <xf numFmtId="166" fontId="7" fillId="8" borderId="0" xfId="0" applyNumberFormat="1" applyFont="1" applyFill="1" applyBorder="1" applyAlignment="1">
      <alignment horizontal="center" vertical="center"/>
    </xf>
  </cellXfs>
  <cellStyles count="4">
    <cellStyle name="Hipervínculo" xfId="2" builtinId="8"/>
    <cellStyle name="Hyperlink" xfId="3" xr:uid="{9D721BED-6003-4827-88C2-634F5602D86B}"/>
    <cellStyle name="Normal" xfId="0" builtinId="0"/>
    <cellStyle name="Porcentaje" xfId="1" builtinId="5"/>
  </cellStyles>
  <dxfs count="0"/>
  <tableStyles count="1" defaultTableStyle="TableStyleMedium2" defaultPivotStyle="PivotStyleLight16">
    <tableStyle name="Invisible" pivot="0" table="0" count="0" xr9:uid="{3D3C6AF3-21A0-482B-B95D-C7BA50AAAC0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eetMetadata" Target="metadata.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crcom-my.sharepoint.com/personal/carlos_guzman_crcom_gov_co/Documents/CUADRO%20GENERAL%20DE%20NUMERACI&#211;N%20CONTRATACION%202026.xlsx" TargetMode="External"/><Relationship Id="rId1" Type="http://schemas.openxmlformats.org/officeDocument/2006/relationships/externalLinkPath" Target="https://crcom-my.sharepoint.com/personal/carlos_guzman_crcom_gov_co/Documents/CUADRO%20GENERAL%20DE%20NUMERACI&#211;N%20CONTRATACION%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Gestion_Administrativa\Contrataci&#243;n\NUMERACION%20CONTRATACION%202015\Numeraci&#243;n%20CONTRATOS%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Procesos"/>
      <sheetName val="Contratos"/>
      <sheetName val="EJECUCIÓN"/>
      <sheetName val="RP"/>
      <sheetName val="CDP"/>
      <sheetName val="Otrosí"/>
      <sheetName val="CONS 2026"/>
      <sheetName val="INDICADOR"/>
      <sheetName val="Actas"/>
      <sheetName val="OTROS INSTRUMENTOS"/>
      <sheetName val="COORD"/>
      <sheetName val="INF CONGRESO"/>
      <sheetName val="REV POLIZAS"/>
      <sheetName val="Rev. Listas CH."/>
      <sheetName val="Lista doc"/>
      <sheetName val="SECOP II"/>
    </sheetNames>
    <sheetDataSet>
      <sheetData sheetId="0">
        <row r="1">
          <cell r="A1" t="str">
            <v>CONTRATACIÓN DIRECTA</v>
          </cell>
        </row>
        <row r="2">
          <cell r="A2" t="str">
            <v>MÍNIMA CUANTÍA</v>
          </cell>
        </row>
        <row r="3">
          <cell r="A3" t="str">
            <v>CONCURSO DE MERITOS</v>
          </cell>
        </row>
        <row r="4">
          <cell r="A4" t="str">
            <v>LICITACIÓN PÚBLICA</v>
          </cell>
        </row>
        <row r="5">
          <cell r="A5" t="str">
            <v>SELECCIÓN ABREVIADA MENOR CUANTÍA</v>
          </cell>
        </row>
        <row r="6">
          <cell r="A6" t="str">
            <v>SELECCIÓN ABREVIADA SUBASTA INVERSA</v>
          </cell>
        </row>
        <row r="7">
          <cell r="A7" t="str">
            <v>AMP/IAD</v>
          </cell>
        </row>
      </sheetData>
      <sheetData sheetId="1">
        <row r="2">
          <cell r="A2">
            <v>1</v>
          </cell>
          <cell r="B2" t="str">
            <v>CONTRATACIÓN DIRECTA</v>
          </cell>
          <cell r="F2">
            <v>112823292</v>
          </cell>
        </row>
        <row r="3">
          <cell r="A3">
            <v>2</v>
          </cell>
          <cell r="B3" t="str">
            <v>CONTRATACIÓN DIRECTA</v>
          </cell>
          <cell r="F3">
            <v>145299786</v>
          </cell>
        </row>
        <row r="4">
          <cell r="A4">
            <v>3</v>
          </cell>
          <cell r="B4" t="str">
            <v>CONTRATACIÓN DIRECTA</v>
          </cell>
          <cell r="F4">
            <v>43103587</v>
          </cell>
        </row>
        <row r="5">
          <cell r="A5">
            <v>4</v>
          </cell>
          <cell r="B5" t="str">
            <v>CONTRATACIÓN DIRECTA</v>
          </cell>
          <cell r="F5">
            <v>132809947</v>
          </cell>
        </row>
        <row r="6">
          <cell r="A6">
            <v>5</v>
          </cell>
          <cell r="B6" t="str">
            <v>CONTRATACIÓN DIRECTA</v>
          </cell>
          <cell r="F6">
            <v>128314988</v>
          </cell>
        </row>
        <row r="7">
          <cell r="A7">
            <v>6</v>
          </cell>
          <cell r="B7" t="str">
            <v>CONTRATACIÓN DIRECTA</v>
          </cell>
          <cell r="F7">
            <v>50222800</v>
          </cell>
        </row>
        <row r="8">
          <cell r="A8">
            <v>7</v>
          </cell>
          <cell r="B8" t="str">
            <v>CONTRATACIÓN DIRECTA</v>
          </cell>
          <cell r="F8">
            <v>70575592</v>
          </cell>
        </row>
        <row r="9">
          <cell r="A9">
            <v>8</v>
          </cell>
          <cell r="B9" t="str">
            <v>CONTRATACIÓN DIRECTA</v>
          </cell>
          <cell r="F9">
            <v>165830000</v>
          </cell>
        </row>
        <row r="10">
          <cell r="A10">
            <v>9</v>
          </cell>
          <cell r="B10" t="str">
            <v>CONTRATACIÓN DIRECTA</v>
          </cell>
          <cell r="F10">
            <v>43501912.5</v>
          </cell>
        </row>
        <row r="11">
          <cell r="A11">
            <v>10</v>
          </cell>
          <cell r="B11" t="str">
            <v>CONTRATACIÓN DIRECTA</v>
          </cell>
          <cell r="F11">
            <v>43501912.5</v>
          </cell>
        </row>
        <row r="12">
          <cell r="A12">
            <v>11</v>
          </cell>
          <cell r="B12" t="str">
            <v>CONTRATACIÓN DIRECTA</v>
          </cell>
          <cell r="F12">
            <v>43501912.5</v>
          </cell>
        </row>
        <row r="13">
          <cell r="A13">
            <v>12</v>
          </cell>
          <cell r="B13" t="str">
            <v>CONTRATACIÓN DIRECTA</v>
          </cell>
          <cell r="F13">
            <v>62778500</v>
          </cell>
        </row>
        <row r="14">
          <cell r="A14">
            <v>13</v>
          </cell>
          <cell r="B14" t="str">
            <v>CONTRATACIÓN DIRECTA</v>
          </cell>
          <cell r="F14">
            <v>250674470</v>
          </cell>
        </row>
        <row r="15">
          <cell r="A15">
            <v>14</v>
          </cell>
          <cell r="B15" t="str">
            <v>CONTRATACIÓN DIRECTA</v>
          </cell>
          <cell r="F15">
            <v>136132700</v>
          </cell>
        </row>
        <row r="16">
          <cell r="A16">
            <v>15</v>
          </cell>
          <cell r="B16" t="str">
            <v>CONTRATACIÓN DIRECTA</v>
          </cell>
          <cell r="F16">
            <v>74750000</v>
          </cell>
        </row>
        <row r="17">
          <cell r="A17">
            <v>16</v>
          </cell>
          <cell r="B17" t="str">
            <v>CONTRATACIÓN DIRECTA</v>
          </cell>
          <cell r="F17">
            <v>68532299</v>
          </cell>
        </row>
        <row r="18">
          <cell r="A18">
            <v>17</v>
          </cell>
          <cell r="B18" t="str">
            <v>CONTRATACIÓN DIRECTA</v>
          </cell>
          <cell r="F18">
            <v>42274496</v>
          </cell>
        </row>
        <row r="19">
          <cell r="A19">
            <v>18</v>
          </cell>
          <cell r="B19" t="str">
            <v>CONTRATACIÓN DIRECTA</v>
          </cell>
          <cell r="F19">
            <v>161177100</v>
          </cell>
        </row>
        <row r="20">
          <cell r="A20">
            <v>19</v>
          </cell>
          <cell r="B20" t="str">
            <v>CONTRATACIÓN DIRECTA</v>
          </cell>
          <cell r="F20">
            <v>161177100</v>
          </cell>
        </row>
        <row r="21">
          <cell r="A21">
            <v>20</v>
          </cell>
          <cell r="B21" t="str">
            <v>CONTRATACIÓN DIRECTA</v>
          </cell>
          <cell r="F21">
            <v>218866593</v>
          </cell>
        </row>
        <row r="22">
          <cell r="A22">
            <v>21</v>
          </cell>
          <cell r="B22" t="str">
            <v>CONTRATACIÓN DIRECTA</v>
          </cell>
          <cell r="F22">
            <v>158829605</v>
          </cell>
        </row>
        <row r="23">
          <cell r="A23">
            <v>22</v>
          </cell>
          <cell r="B23" t="str">
            <v>CONTRATACIÓN DIRECTA</v>
          </cell>
          <cell r="F23">
            <v>243079000</v>
          </cell>
        </row>
        <row r="24">
          <cell r="A24">
            <v>23</v>
          </cell>
          <cell r="B24" t="str">
            <v>CONTRATACIÓN DIRECTA</v>
          </cell>
          <cell r="F24">
            <v>59225000</v>
          </cell>
        </row>
        <row r="25">
          <cell r="A25">
            <v>24</v>
          </cell>
          <cell r="B25" t="str">
            <v>CONTRATACIÓN DIRECTA</v>
          </cell>
          <cell r="F25">
            <v>138112700</v>
          </cell>
        </row>
        <row r="26">
          <cell r="A26">
            <v>25</v>
          </cell>
          <cell r="B26" t="str">
            <v>CONTRATACIÓN DIRECTA</v>
          </cell>
          <cell r="F26">
            <v>193794500</v>
          </cell>
        </row>
        <row r="27">
          <cell r="A27">
            <v>26</v>
          </cell>
          <cell r="B27" t="str">
            <v>CONTRATACIÓN DIRECTA</v>
          </cell>
          <cell r="F27">
            <v>488766000</v>
          </cell>
        </row>
        <row r="28">
          <cell r="A28">
            <v>27</v>
          </cell>
          <cell r="B28" t="str">
            <v>CONTRATACIÓN DIRECTA</v>
          </cell>
          <cell r="F28">
            <v>157074000</v>
          </cell>
        </row>
        <row r="29">
          <cell r="A29">
            <v>28</v>
          </cell>
          <cell r="B29" t="str">
            <v>CONTRATACIÓN DIRECTA</v>
          </cell>
          <cell r="F29">
            <v>157074000</v>
          </cell>
        </row>
        <row r="30">
          <cell r="A30">
            <v>29</v>
          </cell>
          <cell r="B30" t="str">
            <v>CONTRATACIÓN DIRECTA</v>
          </cell>
          <cell r="F30">
            <v>157074000</v>
          </cell>
        </row>
        <row r="31">
          <cell r="A31">
            <v>30</v>
          </cell>
          <cell r="B31" t="str">
            <v>CONTRATACIÓN DIRECTA</v>
          </cell>
          <cell r="F31">
            <v>157074000</v>
          </cell>
        </row>
        <row r="32">
          <cell r="A32">
            <v>31</v>
          </cell>
          <cell r="B32" t="str">
            <v>CONTRATACIÓN DIRECTA</v>
          </cell>
          <cell r="F32">
            <v>615230000</v>
          </cell>
        </row>
        <row r="33">
          <cell r="A33">
            <v>32</v>
          </cell>
          <cell r="B33" t="str">
            <v>CONTRATACIÓN DIRECTA</v>
          </cell>
          <cell r="F33">
            <v>159999500</v>
          </cell>
        </row>
        <row r="34">
          <cell r="A34">
            <v>33</v>
          </cell>
          <cell r="B34" t="str">
            <v>CONTRATACIÓN DIRECTA</v>
          </cell>
          <cell r="F34">
            <v>410000000</v>
          </cell>
        </row>
        <row r="35">
          <cell r="A35">
            <v>34</v>
          </cell>
          <cell r="B35" t="str">
            <v>CONTRATACIÓN DIRECTA</v>
          </cell>
          <cell r="F35">
            <v>157206840</v>
          </cell>
        </row>
        <row r="36">
          <cell r="A36">
            <v>35</v>
          </cell>
          <cell r="B36" t="str">
            <v>CONTRATACIÓN DIRECTA</v>
          </cell>
          <cell r="F36">
            <v>243362400</v>
          </cell>
        </row>
        <row r="37">
          <cell r="A37">
            <v>36</v>
          </cell>
          <cell r="B37" t="str">
            <v>CONTRATACIÓN DIRECTA</v>
          </cell>
          <cell r="F37">
            <v>154992000</v>
          </cell>
        </row>
        <row r="38">
          <cell r="A38">
            <v>37</v>
          </cell>
          <cell r="B38" t="str">
            <v>CONTRATACIÓN DIRECTA</v>
          </cell>
          <cell r="F38">
            <v>112943604</v>
          </cell>
        </row>
        <row r="39">
          <cell r="A39">
            <v>38</v>
          </cell>
          <cell r="B39" t="str">
            <v>CONTRATACIÓN DIRECTA</v>
          </cell>
          <cell r="F39">
            <v>172500000</v>
          </cell>
        </row>
        <row r="40">
          <cell r="A40">
            <v>39</v>
          </cell>
          <cell r="B40" t="str">
            <v>CONTRATACIÓN DIRECTA</v>
          </cell>
          <cell r="F40">
            <v>420343000</v>
          </cell>
        </row>
        <row r="41">
          <cell r="A41">
            <v>40</v>
          </cell>
          <cell r="B41" t="str">
            <v>CONTRATACIÓN DIRECTA</v>
          </cell>
          <cell r="F41">
            <v>157080000</v>
          </cell>
        </row>
        <row r="42">
          <cell r="A42">
            <v>41</v>
          </cell>
          <cell r="B42" t="str">
            <v>CONTRATACIÓN DIRECTA</v>
          </cell>
          <cell r="F42">
            <v>146729314</v>
          </cell>
        </row>
        <row r="43">
          <cell r="A43">
            <v>42</v>
          </cell>
          <cell r="B43" t="str">
            <v>SELECCIÓN ABREVIADA SUBASTA INVERSA</v>
          </cell>
          <cell r="F43">
            <v>392500000</v>
          </cell>
        </row>
        <row r="44">
          <cell r="A44">
            <v>43</v>
          </cell>
          <cell r="B44" t="str">
            <v>CONTRATACIÓN DIRECTA</v>
          </cell>
          <cell r="F44">
            <v>70575500</v>
          </cell>
        </row>
        <row r="45">
          <cell r="A45">
            <v>44</v>
          </cell>
          <cell r="B45" t="str">
            <v>CONTRATACIÓN DIRECTA</v>
          </cell>
          <cell r="F45">
            <v>40232830</v>
          </cell>
        </row>
        <row r="46">
          <cell r="A46">
            <v>45</v>
          </cell>
          <cell r="B46" t="str">
            <v>CONTRATACIÓN DIRECTA</v>
          </cell>
          <cell r="F46">
            <v>487143000</v>
          </cell>
        </row>
        <row r="47">
          <cell r="A47">
            <v>46</v>
          </cell>
          <cell r="B47" t="str">
            <v>CONTRATACIÓN DIRECTA</v>
          </cell>
          <cell r="F47">
            <v>200299995</v>
          </cell>
        </row>
        <row r="48">
          <cell r="A48">
            <v>47</v>
          </cell>
          <cell r="B48" t="str">
            <v>CONTRATACIÓN DIRECTA</v>
          </cell>
          <cell r="F48">
            <v>40000000</v>
          </cell>
        </row>
        <row r="49">
          <cell r="A49">
            <v>48</v>
          </cell>
          <cell r="B49" t="str">
            <v>MÍNIMA CUANTÍA</v>
          </cell>
          <cell r="F49">
            <v>13690026</v>
          </cell>
        </row>
        <row r="50">
          <cell r="A50">
            <v>49</v>
          </cell>
          <cell r="B50" t="str">
            <v>MÍNIMA CUANTÍA</v>
          </cell>
          <cell r="F50">
            <v>7632350</v>
          </cell>
        </row>
        <row r="51">
          <cell r="A51">
            <v>50</v>
          </cell>
          <cell r="B51" t="str">
            <v>CONTRATACIÓN DIRECTA</v>
          </cell>
          <cell r="F51">
            <v>66294096</v>
          </cell>
        </row>
        <row r="52">
          <cell r="A52">
            <v>51</v>
          </cell>
          <cell r="B52" t="str">
            <v>MÍNIMA CUANTÍA</v>
          </cell>
          <cell r="F52">
            <v>31930000</v>
          </cell>
        </row>
        <row r="53">
          <cell r="A53">
            <v>51</v>
          </cell>
          <cell r="B53" t="str">
            <v>CONTRATACIÓN DIRECTA</v>
          </cell>
          <cell r="F53">
            <v>40000000</v>
          </cell>
        </row>
        <row r="54">
          <cell r="A54">
            <v>52</v>
          </cell>
          <cell r="B54" t="str">
            <v>CONTRATACIÓN DIRECTA</v>
          </cell>
          <cell r="F54">
            <v>40000000</v>
          </cell>
        </row>
        <row r="55">
          <cell r="A55">
            <v>53</v>
          </cell>
          <cell r="B55" t="str">
            <v>CONTRATACIÓN DIRECTA</v>
          </cell>
          <cell r="F55">
            <v>150244670</v>
          </cell>
        </row>
        <row r="56">
          <cell r="A56">
            <v>54</v>
          </cell>
          <cell r="B56" t="str">
            <v>CONTRATACIÓN DIRECTA</v>
          </cell>
          <cell r="F56">
            <v>120000000</v>
          </cell>
        </row>
        <row r="57">
          <cell r="A57">
            <v>55</v>
          </cell>
          <cell r="B57" t="str">
            <v>CONTRATACIÓN DIRECTA</v>
          </cell>
          <cell r="F57">
            <v>195500000</v>
          </cell>
        </row>
        <row r="58">
          <cell r="A58">
            <v>56</v>
          </cell>
          <cell r="B58" t="str">
            <v>CONTRATACIÓN DIRECTA</v>
          </cell>
          <cell r="F58">
            <v>99000000</v>
          </cell>
        </row>
        <row r="59">
          <cell r="A59">
            <v>57</v>
          </cell>
          <cell r="B59" t="str">
            <v>CONTRATACIÓN DIRECTA</v>
          </cell>
          <cell r="F59">
            <v>150244670</v>
          </cell>
        </row>
        <row r="60">
          <cell r="A60">
            <v>58</v>
          </cell>
          <cell r="B60" t="str">
            <v>CONTRATACIÓN DIRECTA</v>
          </cell>
          <cell r="F60">
            <v>137500000</v>
          </cell>
        </row>
        <row r="61">
          <cell r="A61">
            <v>59</v>
          </cell>
          <cell r="B61" t="str">
            <v>MÍNIMA CUANTÍA</v>
          </cell>
          <cell r="F61">
            <v>31930000</v>
          </cell>
        </row>
        <row r="62">
          <cell r="A62">
            <v>60</v>
          </cell>
          <cell r="B62" t="str">
            <v>MÍNIMA CUANTÍA</v>
          </cell>
          <cell r="F62">
            <v>6256550</v>
          </cell>
        </row>
        <row r="63">
          <cell r="A63">
            <v>61</v>
          </cell>
          <cell r="B63" t="str">
            <v>MÍNIMA CUANTÍA</v>
          </cell>
          <cell r="F63">
            <v>4648649</v>
          </cell>
        </row>
        <row r="64">
          <cell r="A64">
            <v>62</v>
          </cell>
          <cell r="B64" t="str">
            <v>MÍNIMA CUANTÍA</v>
          </cell>
          <cell r="F64">
            <v>26663225</v>
          </cell>
        </row>
        <row r="65">
          <cell r="A65">
            <v>63</v>
          </cell>
          <cell r="B65" t="str">
            <v>LICITACIÓN PÚBLICA</v>
          </cell>
          <cell r="F65">
            <v>1200000000</v>
          </cell>
        </row>
        <row r="66">
          <cell r="A66">
            <v>64</v>
          </cell>
          <cell r="B66" t="str">
            <v>MÍNIMA CUANTÍA</v>
          </cell>
          <cell r="F66">
            <v>30094000</v>
          </cell>
        </row>
        <row r="67">
          <cell r="A67">
            <v>65</v>
          </cell>
          <cell r="B67" t="str">
            <v>MÍNIMA CUANTÍA</v>
          </cell>
          <cell r="F67">
            <v>48829827</v>
          </cell>
        </row>
        <row r="68">
          <cell r="A68">
            <v>66</v>
          </cell>
          <cell r="B68" t="str">
            <v>MÍNIMA CUANTÍA</v>
          </cell>
          <cell r="F68">
            <v>9987981</v>
          </cell>
        </row>
        <row r="69">
          <cell r="A69">
            <v>67</v>
          </cell>
          <cell r="B69" t="str">
            <v>MÍNIMA CUANTÍA</v>
          </cell>
          <cell r="F69">
            <v>20496000</v>
          </cell>
        </row>
        <row r="70">
          <cell r="A70">
            <v>68</v>
          </cell>
          <cell r="B70" t="str">
            <v>MÍNIMA CUANTÍA</v>
          </cell>
          <cell r="F70">
            <v>1590241</v>
          </cell>
        </row>
        <row r="71">
          <cell r="A71">
            <v>69</v>
          </cell>
          <cell r="B71" t="str">
            <v>CONCURSO DE MERITOS</v>
          </cell>
          <cell r="F71">
            <v>516514336</v>
          </cell>
        </row>
        <row r="72">
          <cell r="A72">
            <v>70</v>
          </cell>
          <cell r="B72" t="str">
            <v>CONCURSO DE MERITOS</v>
          </cell>
          <cell r="F72">
            <v>1316887515</v>
          </cell>
        </row>
        <row r="73">
          <cell r="A73">
            <v>71</v>
          </cell>
          <cell r="B73" t="str">
            <v>MÍNIMA CUANTÍA</v>
          </cell>
          <cell r="F73" t="str">
            <v>$466.447</v>
          </cell>
        </row>
        <row r="74">
          <cell r="A74">
            <v>72</v>
          </cell>
          <cell r="B74" t="str">
            <v>MÍNIMA CUANTÍA</v>
          </cell>
          <cell r="F74">
            <v>18622098</v>
          </cell>
        </row>
        <row r="75">
          <cell r="A75">
            <v>73</v>
          </cell>
          <cell r="B75" t="str">
            <v>MÍNIMA CUANTÍA</v>
          </cell>
          <cell r="F75">
            <v>346625</v>
          </cell>
        </row>
        <row r="76">
          <cell r="A76">
            <v>74</v>
          </cell>
          <cell r="B76" t="str">
            <v>CONCURSO DE MERITOS</v>
          </cell>
          <cell r="F76">
            <v>273424500</v>
          </cell>
        </row>
        <row r="77">
          <cell r="A77">
            <v>75</v>
          </cell>
          <cell r="B77" t="str">
            <v>MÍNIMA CUANTÍA</v>
          </cell>
          <cell r="F77">
            <v>9987981</v>
          </cell>
        </row>
        <row r="78">
          <cell r="A78">
            <v>76</v>
          </cell>
          <cell r="B78" t="str">
            <v>SELECCIÓN ABREVIADA MENOR CUANTÍA</v>
          </cell>
          <cell r="F78">
            <v>187726231</v>
          </cell>
        </row>
        <row r="79">
          <cell r="A79">
            <v>77</v>
          </cell>
          <cell r="B79" t="str">
            <v>MÍNIMA CUANTÍA</v>
          </cell>
          <cell r="F79">
            <v>7562584</v>
          </cell>
        </row>
        <row r="80">
          <cell r="A80">
            <v>78</v>
          </cell>
          <cell r="B80" t="str">
            <v>MÍNIMA CUANTÍA</v>
          </cell>
          <cell r="F80">
            <v>3536548</v>
          </cell>
        </row>
        <row r="81">
          <cell r="A81">
            <v>79</v>
          </cell>
          <cell r="B81" t="str">
            <v>SELECCIÓN ABREVIADA MENOR CUANTÍA</v>
          </cell>
          <cell r="F81">
            <v>111014148</v>
          </cell>
        </row>
        <row r="82">
          <cell r="A82">
            <v>80</v>
          </cell>
          <cell r="B82" t="str">
            <v>CONCURSO DE MERITOS</v>
          </cell>
          <cell r="F82">
            <v>273424500</v>
          </cell>
        </row>
        <row r="83">
          <cell r="A83">
            <v>81</v>
          </cell>
          <cell r="B83" t="str">
            <v>SELECCIÓN ABREVIADA MENOR CUANTÍA</v>
          </cell>
          <cell r="F83">
            <v>432964768</v>
          </cell>
        </row>
        <row r="84">
          <cell r="A84">
            <v>82</v>
          </cell>
          <cell r="B84" t="str">
            <v>CONTRATACIÓN DIRECTA</v>
          </cell>
          <cell r="F84">
            <v>87518688</v>
          </cell>
        </row>
        <row r="85">
          <cell r="A85">
            <v>83</v>
          </cell>
          <cell r="B85" t="str">
            <v>MÍNIMA CUANTÍA</v>
          </cell>
          <cell r="F85">
            <v>9987981</v>
          </cell>
        </row>
        <row r="86">
          <cell r="A86">
            <v>84</v>
          </cell>
          <cell r="B86" t="str">
            <v>MÍNIMA CUANTÍA</v>
          </cell>
          <cell r="F86">
            <v>10731370</v>
          </cell>
        </row>
        <row r="87">
          <cell r="A87">
            <v>85</v>
          </cell>
          <cell r="B87" t="str">
            <v>CONCURSO DE MERITOS</v>
          </cell>
          <cell r="F87">
            <v>79492000</v>
          </cell>
        </row>
        <row r="88">
          <cell r="A88">
            <v>86</v>
          </cell>
          <cell r="B88" t="str">
            <v>MÍNIMA CUANTÍA</v>
          </cell>
          <cell r="F88">
            <v>27033600</v>
          </cell>
        </row>
        <row r="89">
          <cell r="A89">
            <v>87</v>
          </cell>
          <cell r="B89" t="str">
            <v>MÍNIMA CUANTÍA</v>
          </cell>
          <cell r="F89">
            <v>35763500</v>
          </cell>
        </row>
        <row r="90">
          <cell r="A90">
            <v>88</v>
          </cell>
          <cell r="B90" t="str">
            <v>MÍNIMA CUANTÍA</v>
          </cell>
          <cell r="F90">
            <v>5076010</v>
          </cell>
        </row>
        <row r="91">
          <cell r="A91">
            <v>89</v>
          </cell>
          <cell r="B91" t="str">
            <v>CONTRATACIÓN DIRECTA</v>
          </cell>
          <cell r="F91">
            <v>333764531.69999999</v>
          </cell>
        </row>
        <row r="92">
          <cell r="A92">
            <v>90</v>
          </cell>
          <cell r="B92" t="str">
            <v>CONTRATACIÓN DIRECTA</v>
          </cell>
          <cell r="F92">
            <v>30000000</v>
          </cell>
        </row>
        <row r="93">
          <cell r="A93">
            <v>91</v>
          </cell>
          <cell r="B93" t="str">
            <v>CONTRATACIÓN DIRECTA</v>
          </cell>
          <cell r="F93">
            <v>59400000</v>
          </cell>
        </row>
        <row r="94">
          <cell r="A94">
            <v>92</v>
          </cell>
          <cell r="B94" t="str">
            <v>CONTRATACIÓN DIRECTA</v>
          </cell>
          <cell r="F94">
            <v>27450000</v>
          </cell>
        </row>
        <row r="95">
          <cell r="A95">
            <v>93</v>
          </cell>
          <cell r="B95" t="str">
            <v>CONTRATACIÓN DIRECTA</v>
          </cell>
          <cell r="F95">
            <v>36000000</v>
          </cell>
        </row>
        <row r="96">
          <cell r="A96">
            <v>94</v>
          </cell>
          <cell r="B96" t="str">
            <v>CONTRATACIÓN DIRECTA</v>
          </cell>
          <cell r="F96">
            <v>30000000</v>
          </cell>
        </row>
        <row r="97">
          <cell r="A97">
            <v>95</v>
          </cell>
          <cell r="B97" t="str">
            <v>CONTRATACIÓN DIRECTA</v>
          </cell>
          <cell r="F97">
            <v>161297800</v>
          </cell>
        </row>
        <row r="98">
          <cell r="A98">
            <v>96</v>
          </cell>
          <cell r="B98" t="str">
            <v>SELECCIÓN ABREVIADA SUBASTA INVERSA</v>
          </cell>
          <cell r="F98">
            <v>366099500</v>
          </cell>
        </row>
        <row r="99">
          <cell r="A99">
            <v>97</v>
          </cell>
          <cell r="B99" t="str">
            <v>SELECCIÓN ABREVIADA MENOR CUANTÍA</v>
          </cell>
          <cell r="F99">
            <v>85850000</v>
          </cell>
        </row>
        <row r="100">
          <cell r="A100">
            <v>98</v>
          </cell>
          <cell r="B100" t="str">
            <v>SELECCIÓN ABREVIADA MENOR CUANTÍA</v>
          </cell>
          <cell r="F100">
            <v>75009400.060000002</v>
          </cell>
        </row>
        <row r="101">
          <cell r="A101">
            <v>99</v>
          </cell>
          <cell r="B101" t="str">
            <v>AMP/IAD</v>
          </cell>
          <cell r="F101">
            <v>91300038.739999995</v>
          </cell>
        </row>
        <row r="102">
          <cell r="A102">
            <v>100</v>
          </cell>
          <cell r="B102" t="str">
            <v>CONTRATACIÓN DIRECTA</v>
          </cell>
          <cell r="F102">
            <v>297348156</v>
          </cell>
        </row>
        <row r="103">
          <cell r="A103">
            <v>101</v>
          </cell>
          <cell r="B103" t="str">
            <v>CONTRATACIÓN DIRECTA</v>
          </cell>
          <cell r="F103">
            <v>8610840</v>
          </cell>
        </row>
        <row r="104">
          <cell r="A104">
            <v>102</v>
          </cell>
          <cell r="B104" t="str">
            <v>CONTRATACIÓN DIRECTA</v>
          </cell>
          <cell r="F104">
            <v>58310000</v>
          </cell>
        </row>
        <row r="105">
          <cell r="A105">
            <v>103</v>
          </cell>
          <cell r="B105" t="str">
            <v>SELECCIÓN ABREVIADA DE MENOR CUANTÍA</v>
          </cell>
          <cell r="F105">
            <v>253678422</v>
          </cell>
        </row>
        <row r="106">
          <cell r="A106">
            <v>104</v>
          </cell>
          <cell r="B106" t="str">
            <v>CONTRATACIÓN DIRECTA</v>
          </cell>
          <cell r="F106">
            <v>55818480</v>
          </cell>
        </row>
        <row r="107">
          <cell r="A107">
            <v>105</v>
          </cell>
        </row>
      </sheetData>
      <sheetData sheetId="2">
        <row r="2">
          <cell r="A2" t="str">
            <v>CONTRATO 01 DE 2026</v>
          </cell>
          <cell r="B2" t="str">
            <v>ERICK FRANCKS ESPEJO SILVA</v>
          </cell>
          <cell r="C2" t="str">
            <v>PN</v>
          </cell>
          <cell r="E2" t="str">
            <v>Prestación de servicios profesionales o Apoyo a la gestión</v>
          </cell>
          <cell r="F2" t="str">
            <v>Prestar servicios profesionales en realización y producción audiovisual, para apoyar la Estrategia de Comunicaciones 2026 de la CRC mediante la planeación, grabación, edición y entrega de contenidos institucionales y la cobertura de eventos, garantizando calidad técnica, coherencia con la identidad visual, accesibilidad y comunicación inclusiva, utilizando sus propios equipos y actuando con autonomía profesional.</v>
          </cell>
          <cell r="G2">
            <v>112823292</v>
          </cell>
          <cell r="I2" t="str">
            <v>RELACIONES CON GRUPOS DE VALOR</v>
          </cell>
          <cell r="J2" t="str">
            <v>MARIANA SARMIENTO</v>
          </cell>
          <cell r="O2">
            <v>46036</v>
          </cell>
          <cell r="P2">
            <v>46038</v>
          </cell>
          <cell r="Q2">
            <v>46387</v>
          </cell>
          <cell r="Z2" t="str">
            <v>NO</v>
          </cell>
        </row>
        <row r="3">
          <cell r="A3" t="str">
            <v>CONTRATO 02 DE 2026</v>
          </cell>
          <cell r="B3" t="str">
            <v xml:space="preserve">ERIK ANDRÉS BARBOSA PARRA  </v>
          </cell>
          <cell r="C3" t="str">
            <v>PN</v>
          </cell>
          <cell r="E3" t="str">
            <v>Prestación de servicios profesionales o Apoyo a la gestión</v>
          </cell>
          <cell r="F3" t="str">
            <v>Prestación de servicios profesionales especializados en diseño gráfico y dirección de arte, para apoyar la implementación de la Estrategia de Comunicaciones 2026 de la CRC, mediante la creación de piezas gráficas estáticas y animadas, la diagramación de materiales institucionales y la ejecución de acciones de comunicación interna, externa y digital, entre otras actividades, en articulación con la Coordinación de Relaciones con Grupos de Valor.</v>
          </cell>
          <cell r="G3">
            <v>145299786</v>
          </cell>
          <cell r="I3" t="str">
            <v>RELACIONES CON GRUPOS DE VALOR</v>
          </cell>
          <cell r="J3" t="str">
            <v>MARIANA SARMIENTO</v>
          </cell>
          <cell r="O3">
            <v>46036</v>
          </cell>
          <cell r="P3">
            <v>46038</v>
          </cell>
          <cell r="Q3">
            <v>46387</v>
          </cell>
          <cell r="Z3" t="str">
            <v>NO</v>
          </cell>
        </row>
        <row r="4">
          <cell r="A4" t="str">
            <v>CONTRATO 03 DE 2026</v>
          </cell>
          <cell r="B4" t="str">
            <v>JAVIER ENRIQUE OVALLE BURBANO</v>
          </cell>
          <cell r="C4" t="str">
            <v>PN</v>
          </cell>
          <cell r="E4" t="str">
            <v>Prestación de servicios profesionales o Apoyo a la gestión</v>
          </cell>
          <cell r="F4" t="str">
            <v>Brindar apoyo técnico especializado para analizar solicitudes de homologación y emitir conceptos técnicos de viabilidad, en cumplimiento de las directrices establecidas en el Plan de Acción 2026 de la Comisión de Regulación de Comunicaciones, orientado a la homologación de equipos terminales móviles (ETM).</v>
          </cell>
          <cell r="G4">
            <v>43103587</v>
          </cell>
          <cell r="I4" t="str">
            <v>RELACIONES CON GRUPOS DE VALOR</v>
          </cell>
          <cell r="J4" t="str">
            <v>MARIANA SARMIENTO</v>
          </cell>
          <cell r="O4">
            <v>46036</v>
          </cell>
          <cell r="P4">
            <v>46038</v>
          </cell>
          <cell r="Q4">
            <v>46387</v>
          </cell>
          <cell r="Z4" t="str">
            <v>NO</v>
          </cell>
        </row>
        <row r="5">
          <cell r="A5" t="str">
            <v>CONTRATO 04 DE 2026</v>
          </cell>
          <cell r="B5" t="str">
            <v>JUAN CAMILO PEÑA VERGARA</v>
          </cell>
          <cell r="C5" t="str">
            <v>PN</v>
          </cell>
          <cell r="E5" t="str">
            <v>Prestación de servicios profesionales o Apoyo a la gestión</v>
          </cell>
          <cell r="F5" t="str">
            <v>Prestar apoyo profesional especializado en la implementación, ejecución, seguimiento y optimización de la Estrategia de Comunicaciones 2026, mediante la gestión integral de redes sociales y demás canales digitales institucionales, la planificación y producción de contenidos creativos, accesibles y estratégicos, el monitoreo y análisis de indicadores de desempeño digital y la interacción con los diferentes grupos de valor, garantizando la coherencia con los principios de lenguaje claro, comunicación inclusiva, transparencia, participación ciudadana e identidad institucional definidos por la CRC.</v>
          </cell>
          <cell r="G5">
            <v>132809947</v>
          </cell>
          <cell r="I5" t="str">
            <v>RELACIONES CON GRUPOS DE VALOR</v>
          </cell>
          <cell r="J5" t="str">
            <v>MARIANA SARMIENTO</v>
          </cell>
          <cell r="O5">
            <v>46036</v>
          </cell>
          <cell r="P5">
            <v>46038</v>
          </cell>
          <cell r="Q5">
            <v>46387</v>
          </cell>
          <cell r="Z5" t="str">
            <v>NO</v>
          </cell>
        </row>
        <row r="6">
          <cell r="A6" t="str">
            <v>CONTRATO 05 DE 2026</v>
          </cell>
          <cell r="B6" t="str">
            <v>JUAN MANUEL VELASCO CEPEDA</v>
          </cell>
          <cell r="C6" t="str">
            <v>PN</v>
          </cell>
          <cell r="E6" t="str">
            <v>Prestación de servicios profesionales o Apoyo a la gestión</v>
          </cell>
          <cell r="F6" t="str">
            <v>Prestar los servicios profesionales para la administración, actualización y gestión técnica y de contenidos del portal web institucional y demás canales digitales de la Comisión de Regulación de Comunicaciones (CRC), en cumplimiento de la Estrategia de Comunicaciones 2026 y de los lineamientos de accesibilidad, transparencia y gobierno digital.</v>
          </cell>
          <cell r="G6">
            <v>128314988</v>
          </cell>
          <cell r="I6" t="str">
            <v>RELACIONES CON GRUPOS DE VALOR</v>
          </cell>
          <cell r="J6" t="str">
            <v>MARIANA SARMIENTO</v>
          </cell>
          <cell r="O6">
            <v>46036</v>
          </cell>
          <cell r="P6">
            <v>46038</v>
          </cell>
          <cell r="Q6">
            <v>46387</v>
          </cell>
          <cell r="Z6" t="str">
            <v>NO</v>
          </cell>
        </row>
        <row r="7">
          <cell r="A7" t="str">
            <v>CONTRATO 06 DE 2026</v>
          </cell>
          <cell r="B7" t="str">
            <v>SERGIO ANDRÉS BOHÓRQUEZ PERDOMO</v>
          </cell>
          <cell r="C7" t="str">
            <v>PN</v>
          </cell>
          <cell r="E7" t="str">
            <v>Prestación de servicios profesionales o Apoyo a la gestión</v>
          </cell>
          <cell r="F7" t="str">
            <v>Prestación de servicios profesionales orientados a brindar soporte técnico para el análisis de solicitudes y apoyar la planeación, atribución, asignación, recuperación, administración y gestión de los recursos de identificación a cargo de la Comisión de Regulación de Comunicaciones (CRC), en cumplimiento de las directrices establecidas en el Plan de Acción 2026.</v>
          </cell>
          <cell r="G7">
            <v>50222800</v>
          </cell>
          <cell r="I7" t="str">
            <v>RELACIONES CON GRUPOS DE VALOR</v>
          </cell>
          <cell r="J7" t="str">
            <v>MARIANA SARMIENTO</v>
          </cell>
          <cell r="O7">
            <v>46036</v>
          </cell>
          <cell r="P7">
            <v>46038</v>
          </cell>
          <cell r="Q7">
            <v>46387</v>
          </cell>
          <cell r="Z7" t="str">
            <v>NO</v>
          </cell>
        </row>
        <row r="8">
          <cell r="A8" t="str">
            <v>CONTRATO 07 DE 2026</v>
          </cell>
          <cell r="B8" t="str">
            <v>DIEGO ALEJANDRO DURÁN ESPITIA</v>
          </cell>
          <cell r="C8" t="str">
            <v>PN</v>
          </cell>
          <cell r="E8" t="str">
            <v>Prestación de servicios profesionales o Apoyo a la gestión</v>
          </cell>
          <cell r="F8" t="str">
            <v>Prestar apoyo profesional a la Coordinación de Relaciones con Grupos de Valor, orientado al fortalecimiento de la Estrategia de Servicio al Ciudadano, la racionalización de trámites y la mejora continua en la atención y satisfacción de los grupos de valor de la Comisión de Regulación de Comunicaciones –CRC–. Para ello, desarrollará actividades relacionadas con el seguimiento y gestión de solicitudes, consultas y trámites, el monitoreo de la operación del Centro de Contacto, la elaboración de planes de emisión de espacios institucionales, en concordancia con los procedimientos y lineamientos vigentes.</v>
          </cell>
          <cell r="G8">
            <v>70575592</v>
          </cell>
          <cell r="I8" t="str">
            <v>RELACIONES CON GRUPOS DE VALOR</v>
          </cell>
          <cell r="J8" t="str">
            <v>MARIANA SARMIENTO</v>
          </cell>
          <cell r="O8">
            <v>46036</v>
          </cell>
          <cell r="P8">
            <v>46038</v>
          </cell>
          <cell r="Q8">
            <v>46387</v>
          </cell>
          <cell r="Z8" t="str">
            <v>SI</v>
          </cell>
        </row>
        <row r="9">
          <cell r="A9" t="str">
            <v>CONTRATO 08 DE 2026</v>
          </cell>
          <cell r="B9" t="str">
            <v>JULIÁN DAVID ZULUAGA TORRES</v>
          </cell>
          <cell r="C9" t="str">
            <v>PN</v>
          </cell>
          <cell r="E9" t="str">
            <v>Prestación de servicios profesionales o Apoyo a la gestión</v>
          </cell>
          <cell r="F9" t="str">
            <v>Prestar servicios profesionales especializados a la Comisión de Regulación de Comunicaciones (CRC) para la consolidación, fortalecimiento y gestión integral de la estrategia de cooperación nacional e internacional y de alianzas estratégicas, mediante la identificación, formulación, seguimiento y evaluación de iniciativas y proyectos de cooperación técnica, así como el acompañamiento en la gestión de relaciones institucionales y la preparación de información técnica que contribuya al posicionamiento de la CRC como referente regulatorio a nivel nacional e internacional.</v>
          </cell>
          <cell r="G9">
            <v>165830000</v>
          </cell>
          <cell r="I9" t="str">
            <v>RELACIONES CON GRUPOS DE VALOR</v>
          </cell>
          <cell r="J9" t="str">
            <v>MARIANA SARMIENTO</v>
          </cell>
          <cell r="O9">
            <v>46036</v>
          </cell>
          <cell r="P9">
            <v>46038</v>
          </cell>
          <cell r="Q9">
            <v>46387</v>
          </cell>
          <cell r="Z9" t="str">
            <v>NO</v>
          </cell>
        </row>
        <row r="10">
          <cell r="A10" t="str">
            <v>CONTRATO 09 DE 2026</v>
          </cell>
          <cell r="B10" t="str">
            <v>KAREM JULIETH MOLINA SANTANA</v>
          </cell>
          <cell r="C10" t="str">
            <v>PN</v>
          </cell>
          <cell r="E10" t="str">
            <v>Prestación de servicios profesionales o Apoyo a la gestión</v>
          </cell>
          <cell r="F10" t="str">
            <v>Prestar apoyo técnico a la Coordinación de Gestión Administrativa y Financiera en el desarrollo de actividades operativas y administrativas, incluyendo la atención en la recepción institucional, la canalización de correspondencia y el soporte en procesos internos de Gestión Ambiental, bienes y servicios, ejecutadas de manera autónoma, sin subordinación ni vínculo laboral con la entidad</v>
          </cell>
          <cell r="G10">
            <v>44132375</v>
          </cell>
          <cell r="I10" t="str">
            <v>GESTIÓN ADM. Y FIN</v>
          </cell>
          <cell r="J10" t="str">
            <v>DIANA WILCHES</v>
          </cell>
          <cell r="O10">
            <v>46030</v>
          </cell>
          <cell r="P10">
            <v>46036</v>
          </cell>
          <cell r="Q10">
            <v>46387</v>
          </cell>
          <cell r="Z10" t="str">
            <v>N/A</v>
          </cell>
        </row>
        <row r="11">
          <cell r="A11" t="str">
            <v>CONTRATO 10 DE 2026</v>
          </cell>
          <cell r="B11" t="str">
            <v>CAROLINA GONZALEZ</v>
          </cell>
          <cell r="C11" t="str">
            <v>PN</v>
          </cell>
          <cell r="E11" t="str">
            <v>Prestación de servicios profesionales o Apoyo a la gestión</v>
          </cell>
          <cell r="F11" t="str">
            <v>Prestar apoyo técnico a la Coordinación de Gestión Administrativa y Financiera en el desarrollo de actividades operativas y administrativas, incluyendo la atención en la recepción institucional, la canalización de correspondencia y el soporte en procesos internos de Talento Humano. ejecutadas de manera autónoma, sin subordinación ni vínculo laboral con la entidad.</v>
          </cell>
          <cell r="G11">
            <v>44132375</v>
          </cell>
          <cell r="I11" t="str">
            <v>GESTIÓN ADM. Y FIN</v>
          </cell>
          <cell r="J11" t="str">
            <v>DIANA WILCHES</v>
          </cell>
          <cell r="O11">
            <v>46030</v>
          </cell>
          <cell r="P11">
            <v>46035</v>
          </cell>
          <cell r="Q11">
            <v>46387</v>
          </cell>
          <cell r="Z11" t="str">
            <v>NO</v>
          </cell>
        </row>
        <row r="12">
          <cell r="A12" t="str">
            <v>CONTRATO 11 DE 2026</v>
          </cell>
          <cell r="C12" t="str">
            <v>PN</v>
          </cell>
          <cell r="E12" t="str">
            <v>Prestación de servicios profesionales o Apoyo a la gestión</v>
          </cell>
          <cell r="F12" t="str">
            <v>Prestar apoyo a la Coordinación de Gestión Administrativa y Financiera en la ejecución eficiente de actividades operativas y logísticas relacionadas con el proceso de Gestión Documental de la CRC, con el propósito de fortalecer el cumplimiento oportuno de las funciones asignadas y atender otras necesidades que surjan en el marco de la Gestión documental de la entidad.</v>
          </cell>
          <cell r="G12">
            <v>43501912.5</v>
          </cell>
          <cell r="I12" t="str">
            <v>GESTIÓN ADM. Y FIN</v>
          </cell>
          <cell r="J12" t="str">
            <v>DIANA WILCHES</v>
          </cell>
          <cell r="O12">
            <v>46036</v>
          </cell>
          <cell r="P12">
            <v>46038</v>
          </cell>
          <cell r="Q12">
            <v>46387</v>
          </cell>
          <cell r="Z12" t="str">
            <v>SI</v>
          </cell>
        </row>
        <row r="13">
          <cell r="A13" t="str">
            <v>CONTRATO 12 DE 2026</v>
          </cell>
          <cell r="B13" t="str">
            <v>NICOLAS MATEO GOMEZ BUSTAMANTE</v>
          </cell>
          <cell r="C13" t="str">
            <v>PN</v>
          </cell>
          <cell r="E13" t="str">
            <v>Prestación de servicios profesionales o Apoyo a la gestión</v>
          </cell>
          <cell r="F13" t="str">
            <v>Prestar servicios profesionales para apoyar y asesorar las acciones relacionadas con la Gestión Ambiental de la CRC, incluyendo actividades de medición, seguimiento y evaluación de indicadores ambientales, así como acompañamiento en la actualización, implementación y gestión de la Política Ambiental y los Objetivos Ambientales institucionales, en coherencia con los planes, programas y metas definidos por la entidad para el año 2026</v>
          </cell>
          <cell r="G13">
            <v>62778500</v>
          </cell>
          <cell r="I13" t="str">
            <v>GESTIÓN ADM. Y FIN</v>
          </cell>
          <cell r="J13" t="str">
            <v>DIANA WILCHES</v>
          </cell>
          <cell r="O13">
            <v>46037</v>
          </cell>
          <cell r="P13">
            <v>46042</v>
          </cell>
          <cell r="Q13">
            <v>46387</v>
          </cell>
          <cell r="Z13" t="str">
            <v>NO</v>
          </cell>
        </row>
        <row r="14">
          <cell r="A14" t="str">
            <v>CONTRATO 13 DE 2026</v>
          </cell>
          <cell r="C14" t="str">
            <v>PN</v>
          </cell>
          <cell r="E14" t="str">
            <v>Prestación de servicios profesionales o Apoyo a la gestión</v>
          </cell>
          <cell r="F14" t="str">
            <v xml:space="preserve">Prestar servicios profesionales especializados en derecho tributario para apoyar y acompañar a la Comisión de Regulación de Comunicaciones (CRC) en el desarrollo de las actividades relacionadas con la Contribución a su favor, conforme a lo dispuesto en el artículo 24 de la Ley 1341 de 2009 y sus modificaciones. Estas actividades incluyen, entre otras, la atención de procesos de discusión administrativa, la aplicación del régimen sancionatorio, el adelanto de actuaciones de cobro coactivo y el seguimiento o respuesta a demandas judiciales derivadas de este concepto, durante la vigencia 2026. El servicio no incluye la representación judicial ni administrativa de la Entidad. </v>
          </cell>
          <cell r="G14">
            <v>250674470</v>
          </cell>
          <cell r="I14" t="str">
            <v>GESTIÓN ADM. Y FIN</v>
          </cell>
          <cell r="J14" t="str">
            <v>DIANA WILCHES</v>
          </cell>
          <cell r="O14">
            <v>46036</v>
          </cell>
          <cell r="P14">
            <v>46038</v>
          </cell>
          <cell r="Q14">
            <v>46387</v>
          </cell>
          <cell r="Z14" t="str">
            <v>NO</v>
          </cell>
        </row>
        <row r="15">
          <cell r="A15" t="str">
            <v>CONTRATO 14 DE 2026</v>
          </cell>
          <cell r="C15" t="str">
            <v>PN</v>
          </cell>
          <cell r="E15" t="str">
            <v>Prestación de servicios profesionales o Apoyo a la gestión</v>
          </cell>
          <cell r="F15" t="str">
            <v xml:space="preserve">Prestar servicios profesionales para el diseño, ejecución y evaluación de estrategias orientadas al fortalecimiento del pluralismo informativo y la alfabetización mediática, mediante el desarrollo de metodologías de observación y análisis de contenidos, la ejecución de proyectos regulatorios y estrategias pedagógicas innovadoras que promuevan el consumo responsable de información y la comprensión del entorno comunicativo convergente, en el marco de los proyectos contemplados dentro de la Agenda Regulatoria y el Plan de Acción 2026. </v>
          </cell>
          <cell r="G15">
            <v>136132700</v>
          </cell>
          <cell r="I15" t="str">
            <v>PEDAGOGÍA REGULATORIA</v>
          </cell>
          <cell r="J15" t="str">
            <v>RICARDO RAMÍREZ</v>
          </cell>
          <cell r="O15">
            <v>46036</v>
          </cell>
          <cell r="P15">
            <v>46038</v>
          </cell>
          <cell r="Q15">
            <v>46387</v>
          </cell>
          <cell r="Z15" t="str">
            <v>NO</v>
          </cell>
        </row>
        <row r="16">
          <cell r="A16" t="str">
            <v>CONTRATO 15 DE 2026</v>
          </cell>
          <cell r="B16" t="str">
            <v>MÓNICA MEJÍA / CEDIDO A LADY TORREZ</v>
          </cell>
          <cell r="C16" t="str">
            <v>PN</v>
          </cell>
          <cell r="E16" t="str">
            <v>Prestación de servicios profesionales o Apoyo a la gestión</v>
          </cell>
          <cell r="F16" t="str">
            <v xml:space="preserve">prestar servicios profesionales con plena autonomía técnica y administrativa para apoyar al Grupo Interno de Trabajo de Control Interno de la CRC en la planeación, ejecución y seguimiento del Plan Anual de Auditoría 2026, con enfoque basado en riesgos, incluyendo la elaboración de informes de ley, la realización de auditorías internas y el seguimiento y evaluación de planes de mejoramiento, en cumplimiento de la normativa vigente y en articulación con los objetivos estratégicos y el Sistema de Control Interno de la Entidad. </v>
          </cell>
          <cell r="G16">
            <v>74750000</v>
          </cell>
          <cell r="I16" t="str">
            <v>CONTROL INTERNO</v>
          </cell>
          <cell r="J16" t="str">
            <v>MARTHA VALENZUELA</v>
          </cell>
          <cell r="O16">
            <v>46036</v>
          </cell>
          <cell r="P16">
            <v>46038</v>
          </cell>
          <cell r="Q16">
            <v>46387</v>
          </cell>
          <cell r="Z16" t="str">
            <v>NO</v>
          </cell>
        </row>
        <row r="17">
          <cell r="A17" t="str">
            <v>CONTRATO 16 DE 2026</v>
          </cell>
          <cell r="B17" t="str">
            <v>SOPORTE LÓGICO -HUMANO</v>
          </cell>
          <cell r="C17" t="str">
            <v>PJ</v>
          </cell>
          <cell r="E17" t="str">
            <v>Contratación directa</v>
          </cell>
          <cell r="F17" t="str">
            <v xml:space="preserve">Renovación del contrato de servicios, mantenimiento, soporte y bolsa de horas para el sistema de nómina y gestión del recurso humano – “humano” de la CRC. </v>
          </cell>
          <cell r="G17">
            <v>68532299</v>
          </cell>
          <cell r="I17" t="str">
            <v>GESTIÓN ADM. Y FIN</v>
          </cell>
          <cell r="J17" t="str">
            <v>DIANA WILCHES</v>
          </cell>
          <cell r="O17">
            <v>46037</v>
          </cell>
          <cell r="P17">
            <v>46038</v>
          </cell>
          <cell r="Q17">
            <v>46387</v>
          </cell>
          <cell r="Z17" t="str">
            <v>N/A</v>
          </cell>
        </row>
        <row r="18">
          <cell r="A18" t="str">
            <v>CONTRATO 17 DE 2026</v>
          </cell>
          <cell r="C18" t="str">
            <v>PN</v>
          </cell>
          <cell r="E18" t="str">
            <v>Prestación de servicios profesionales o Apoyo a la gestión</v>
          </cell>
          <cell r="F18" t="str">
            <v>Prestar servicios de interpretación en Lengua de Señas Colombiana durante el año 2026, los cuales incluirán la traducción de contenidos audiovisuales institucionales, la interpretación en espacios y actividades comunicacionales, así como en eventos oficiales organizados por la Comisión de Regulación de Comunicaciones (CRC). El contratista trabajará de manera articulada con la Coordinación de Relaciones con Grupos de Valor, dependencia encargada de liderar la estrategia de comunicaciones de la entidad durante la vigencia 2026</v>
          </cell>
          <cell r="G18">
            <v>42274496</v>
          </cell>
          <cell r="I18" t="str">
            <v>RELACIONES CON GRUPOS DE VALOR</v>
          </cell>
          <cell r="J18" t="str">
            <v>MARIANA SARMIENTO</v>
          </cell>
          <cell r="O18">
            <v>46037</v>
          </cell>
          <cell r="P18">
            <v>46050</v>
          </cell>
          <cell r="Q18">
            <v>46387</v>
          </cell>
          <cell r="Z18" t="str">
            <v>NO</v>
          </cell>
        </row>
        <row r="19">
          <cell r="A19" t="str">
            <v>CONTRATO 18 DE 2026</v>
          </cell>
          <cell r="B19" t="str">
            <v>JHON RICHARD SÁNCHEZ CASTIBLANCO</v>
          </cell>
          <cell r="C19" t="str">
            <v>PN</v>
          </cell>
          <cell r="E19" t="str">
            <v>Prestación de servicios profesionales o Apoyo a la gestión</v>
          </cell>
          <cell r="F19" t="str">
            <v>Prestación de servicios profesionales para brindar apoyo en el desarrollo de actividades asociadas al consumo crítico de contenidos audiovisuales, la generación de entornos audiovisuales seguros, la protección de los derechos de la niñez y la familia en los contenidos audiovisuales, y la prevención de la desinformación, mediante la formulación y ejecución de proyectos regulatorios, de estrategias de difusión y pedagogía regulatoria orientadas al sector y a la ciudadanía, en el marco de los acciones contemplados dentro de la Agenda Regulatoria y el Plan de Acción 2026.</v>
          </cell>
          <cell r="G19">
            <v>161177100</v>
          </cell>
          <cell r="I19" t="str">
            <v>PEDAGOGÍA REGULATORIA</v>
          </cell>
          <cell r="J19" t="str">
            <v>RICARDO RAMÍREZ</v>
          </cell>
          <cell r="O19">
            <v>46036</v>
          </cell>
          <cell r="P19">
            <v>46038</v>
          </cell>
          <cell r="Q19">
            <v>46387</v>
          </cell>
          <cell r="Z19" t="str">
            <v>NO</v>
          </cell>
        </row>
        <row r="20">
          <cell r="A20" t="str">
            <v>CONTRATO 19 DE 2026</v>
          </cell>
          <cell r="B20" t="str">
            <v>JULIO CÉSAR MENDOZA GARCÍA</v>
          </cell>
          <cell r="C20" t="str">
            <v>PN</v>
          </cell>
          <cell r="E20" t="str">
            <v>Prestación de servicios profesionales o Apoyo a la gestión</v>
          </cell>
          <cell r="F20" t="str">
            <v>Prestación de servicios profesionales para brindar apoyo en el desarrollo de actividades de promoción del pluralismo informativo, la protección de los derechos de las audiencias, la integridad de la información y la alfabetización mediática informacional, a través la participación y el impulso de iniciativas de cooperación técnica, y la formulación y ejecución de proyectos regulatorios y no regulatorios contemplados dentro de la Agenda Regulatoria y el Plan de Acción 2026.</v>
          </cell>
          <cell r="G20">
            <v>161177100</v>
          </cell>
          <cell r="I20" t="str">
            <v>PEDAGOGÍA REGULATORIA</v>
          </cell>
          <cell r="J20" t="str">
            <v>RICARDO RAMÍREZ</v>
          </cell>
          <cell r="O20">
            <v>46036</v>
          </cell>
          <cell r="P20">
            <v>46038</v>
          </cell>
          <cell r="Q20">
            <v>46387</v>
          </cell>
          <cell r="Z20" t="str">
            <v>NO</v>
          </cell>
        </row>
        <row r="21">
          <cell r="A21" t="str">
            <v>CONTRATO 20 DE 2026</v>
          </cell>
          <cell r="B21" t="str">
            <v xml:space="preserve">ESTRATEGIAS Y ASESORÍAS REGULATORIAS S.A.S. </v>
          </cell>
          <cell r="C21" t="str">
            <v>PJ</v>
          </cell>
          <cell r="E21" t="str">
            <v>Contratación directa</v>
          </cell>
          <cell r="F21" t="str">
            <v>Prestar servicios de asesoría estratégica, jurídica y regulatoria para fortalecer la gestión institucional de la CRC en asuntos de relacionamiento y seguimiento misional, mediante un acompañamiento jurídico especializado que apoye a la Coordinación de Relaciones con Grupos de Valor en el monitoreo, análisis y gestión de iniciativas legislativas en el Congreso que impactan las competencias de la Entidad en los sectores de comunicaciones, postal y contenidos audiovisuales.</v>
          </cell>
          <cell r="G21">
            <v>218866593</v>
          </cell>
          <cell r="I21" t="str">
            <v>RELACIONES CON GRUPOS DE VALOR</v>
          </cell>
          <cell r="J21" t="str">
            <v>MARIANA SARMIENTO</v>
          </cell>
          <cell r="O21">
            <v>46036</v>
          </cell>
          <cell r="P21">
            <v>46041</v>
          </cell>
          <cell r="Q21">
            <v>46374</v>
          </cell>
          <cell r="Z21" t="str">
            <v>N/A</v>
          </cell>
        </row>
        <row r="22">
          <cell r="A22" t="str">
            <v>CONTRATO 21 DE 2026</v>
          </cell>
          <cell r="C22" t="str">
            <v>PN</v>
          </cell>
          <cell r="E22" t="str">
            <v>Prestación de servicios profesionales o Apoyo a la gestión</v>
          </cell>
          <cell r="F22" t="str">
            <v>Prestación de servicios profesionales especializados para apoyar en el diseño, implementación y fortalecimiento de la política y la estrategia de gestión de conocimiento e innovación en el marco del Modelo Integrado de Planeación y Gestión (MIPG); la formulación y acompañamiento de procesos de innovación institucional y experimental, incluyendo la articulación con instituciones de educación superior y centros de investigación para el desarrollo de proyectos colaborativos y de investigación aplicada, en concordancia con la Agenda Regulatoria y el Plan de Acción de la CRC para el año 2026</v>
          </cell>
          <cell r="G22">
            <v>158829605</v>
          </cell>
          <cell r="I22" t="str">
            <v>PROSPECTIVA ESTR. E INN / PEDAGOGÍA REGULATORIA</v>
          </cell>
          <cell r="J22" t="str">
            <v>VICTOR BALDRICH / RICARDO RAMÍREZ</v>
          </cell>
          <cell r="O22">
            <v>46037</v>
          </cell>
          <cell r="P22">
            <v>46038</v>
          </cell>
          <cell r="Q22">
            <v>46387</v>
          </cell>
          <cell r="Z22" t="str">
            <v>NO</v>
          </cell>
        </row>
        <row r="23">
          <cell r="A23" t="str">
            <v>CONTRATO 22 DE 2026</v>
          </cell>
          <cell r="C23" t="str">
            <v>PN</v>
          </cell>
          <cell r="E23" t="str">
            <v>Prestación de servicios profesionales o Apoyo a la gestión</v>
          </cell>
          <cell r="F23" t="str">
            <v>Contratar la prestación de servicios profesionales especializados en derecho, con el fin de brindar apoyo jurídico integral a la CRC en el desarrollo de sus funciones misionales, particularmente aquellas asignadas a las Sesiones de Comisión de Comunicaciones y de Contenidos Audiovisuales</v>
          </cell>
          <cell r="G23">
            <v>243079000</v>
          </cell>
          <cell r="I23" t="str">
            <v>GESTIÓN JURÍDICA</v>
          </cell>
          <cell r="J23" t="str">
            <v>VICTOR SANDOVAL</v>
          </cell>
          <cell r="O23">
            <v>46037</v>
          </cell>
          <cell r="P23">
            <v>46042</v>
          </cell>
          <cell r="Q23">
            <v>46387</v>
          </cell>
          <cell r="Z23" t="str">
            <v>NO</v>
          </cell>
        </row>
        <row r="24">
          <cell r="A24" t="str">
            <v>CONTRATO 23 DE 2026</v>
          </cell>
          <cell r="C24" t="str">
            <v>PN</v>
          </cell>
          <cell r="E24" t="str">
            <v>Prestación de servicios profesionales o Apoyo a la gestión</v>
          </cell>
          <cell r="F24" t="str">
            <v>Prestación de servicios profesionales en materia de diseño e implementación de la política y la estrategia de gestión del conocimiento y la innovación alineada con MIPG, diseño y desarrollo de estrategias de pedagogía regulatoria y definición de acciones para adelantar actividades de investigación aplicada, de acuerdo con el Plan de Acción institucional para la vigencia 2026</v>
          </cell>
          <cell r="G24">
            <v>59225000</v>
          </cell>
          <cell r="I24" t="str">
            <v>PROSPECTIVA ESTRATÉGICA</v>
          </cell>
          <cell r="J24" t="str">
            <v>VICTOR BALDRICH</v>
          </cell>
          <cell r="O24">
            <v>46038</v>
          </cell>
          <cell r="P24">
            <v>46038</v>
          </cell>
          <cell r="Q24">
            <v>46387</v>
          </cell>
          <cell r="Z24" t="str">
            <v>NO</v>
          </cell>
        </row>
        <row r="25">
          <cell r="A25" t="str">
            <v>CONTRATO 24 DE 2026</v>
          </cell>
          <cell r="C25" t="str">
            <v>PN</v>
          </cell>
          <cell r="E25" t="str">
            <v>Prestación de servicios profesionales o Apoyo a la gestión</v>
          </cell>
          <cell r="F25" t="str">
            <v>prestación de servicios profesionales para brindar apoyo jurídico en el desarrollo de actividades misionales de la CRC, principalmente las asociadas a la revisión del marco regulatorio sobre el pluralismo y la imparcialidad informativos, la reglamentación de la Ley 2489 de 2025,  la implementación de acciones de inspección, vigilancia y control de contenidos y la protección de los derechos de los televidentes, en el marco de los proyectos contemplados en la Agenda Regulatoria y el Plan de Acción 2026.</v>
          </cell>
          <cell r="G25">
            <v>138112700</v>
          </cell>
          <cell r="I25" t="str">
            <v>GESTIÓN JURÍDICA / PEDAGOGÍA REGULATORIA</v>
          </cell>
          <cell r="J25" t="str">
            <v>VICTOR SANDOVAL /RICARDO RAMÍREZ</v>
          </cell>
          <cell r="O25">
            <v>46036</v>
          </cell>
          <cell r="P25">
            <v>46038</v>
          </cell>
          <cell r="Q25">
            <v>46387</v>
          </cell>
          <cell r="Z25" t="str">
            <v>NO</v>
          </cell>
        </row>
        <row r="26">
          <cell r="A26" t="str">
            <v>CONTRATO 25 DE 2026</v>
          </cell>
          <cell r="C26" t="str">
            <v>PN</v>
          </cell>
          <cell r="E26" t="str">
            <v>Prestación de servicios profesionales o Apoyo a la gestión</v>
          </cell>
          <cell r="G26">
            <v>193794500</v>
          </cell>
          <cell r="I26" t="str">
            <v>GESTIÓN JURÍDICA</v>
          </cell>
          <cell r="J26" t="str">
            <v>VICTOR SANDOVAL</v>
          </cell>
          <cell r="O26">
            <v>46038</v>
          </cell>
          <cell r="P26">
            <v>46045</v>
          </cell>
          <cell r="Q26">
            <v>46387</v>
          </cell>
          <cell r="Z26" t="str">
            <v>NO</v>
          </cell>
        </row>
        <row r="27">
          <cell r="A27" t="str">
            <v>CONTRATO 26 DE 2026</v>
          </cell>
          <cell r="B27" t="str">
            <v>TACHYON  CONSULTORES SAS</v>
          </cell>
          <cell r="C27" t="str">
            <v>PJ</v>
          </cell>
          <cell r="E27" t="str">
            <v>Prestación de servicios profesionales o Apoyo a la gestión</v>
          </cell>
          <cell r="F27" t="str">
            <v>Prestación de servicios profesionales altamente especializados en ingeniería para apoyar técnicamente el desarrollo y análisis de los proyectos regulatorios de la Comisión de Regulación de Comunicaciones en el marco del Plan de Acción 2026 y la Agenda Regulatoria 2026-2027. Este apoyo incluirá actividades técnicas en materia de acceso e interconexión, dimensionamiento y estimación de tráfico, análisis de calidad de los servicios fijos y móviles, evaluación de infraestructura y capacidad de red, estudio del impacto del tráfico de plataformas OTT, análisis de eficiencia espectral, remuneración y cargos de acceso, así como la elaboración de insumos técnicos que soporten decisiones regulatorias</v>
          </cell>
          <cell r="G27">
            <v>488766000</v>
          </cell>
          <cell r="I27" t="str">
            <v>DISEÑO REGULATORIO / GESTIÓN JURÍDICA</v>
          </cell>
          <cell r="J27" t="str">
            <v>ALEJANDRA ARENAS / VICTOR SANDOVAL</v>
          </cell>
          <cell r="O27">
            <v>46041</v>
          </cell>
          <cell r="P27">
            <v>46048</v>
          </cell>
          <cell r="Q27">
            <v>46387</v>
          </cell>
          <cell r="Z27" t="str">
            <v>N/A</v>
          </cell>
        </row>
        <row r="28">
          <cell r="A28" t="str">
            <v>CONTRATO 27 DE 2026</v>
          </cell>
          <cell r="B28" t="str">
            <v>JAIRO MONTEALEGRE</v>
          </cell>
          <cell r="C28" t="str">
            <v>PN</v>
          </cell>
          <cell r="E28" t="str">
            <v>Prestación de servicios profesionales o Apoyo a la gestión</v>
          </cell>
          <cell r="F28"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y al Plan de Acción año 2026, en cumplimiento de la Política de Gobierno Digital.</v>
          </cell>
          <cell r="G28">
            <v>157074000</v>
          </cell>
          <cell r="I28" t="str">
            <v>TECNOLOGÍAS Y SIST. DE INF.</v>
          </cell>
          <cell r="J28" t="str">
            <v>INGRID PICÓN</v>
          </cell>
          <cell r="O28">
            <v>46037</v>
          </cell>
          <cell r="P28">
            <v>46038</v>
          </cell>
          <cell r="Q28">
            <v>46387</v>
          </cell>
          <cell r="Z28" t="str">
            <v>NO</v>
          </cell>
        </row>
        <row r="29">
          <cell r="A29" t="str">
            <v>CONTRATO 28 DE 2026</v>
          </cell>
          <cell r="B29" t="str">
            <v>WILMER ALEJANDRO OSORIO</v>
          </cell>
          <cell r="C29" t="str">
            <v>PN</v>
          </cell>
          <cell r="E29" t="str">
            <v>Prestación de servicios profesionales o Apoyo a la gestión</v>
          </cell>
          <cell r="F29"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y al Plan de Acción año 2026, en cumplimiento de la Política de Gobierno Digital.</v>
          </cell>
          <cell r="G29">
            <v>157074000</v>
          </cell>
          <cell r="I29" t="str">
            <v>TECNOLOGÍAS Y SIST. DE INF.</v>
          </cell>
          <cell r="J29" t="str">
            <v>INGRID PICÓN</v>
          </cell>
          <cell r="O29">
            <v>46037</v>
          </cell>
          <cell r="P29">
            <v>46038</v>
          </cell>
          <cell r="Q29">
            <v>46387</v>
          </cell>
          <cell r="Z29" t="str">
            <v>NO</v>
          </cell>
        </row>
        <row r="30">
          <cell r="A30" t="str">
            <v>CONTRATO 29 DE 2026</v>
          </cell>
          <cell r="B30" t="str">
            <v xml:space="preserve">OMAR DUARTE </v>
          </cell>
          <cell r="C30" t="str">
            <v>PN</v>
          </cell>
          <cell r="E30" t="str">
            <v>Prestación de servicios profesionales o Apoyo a la gestión</v>
          </cell>
          <cell r="F30"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y al Plan de Acción año 2026, en cumplimiento de la Política de Gobierno Digital.</v>
          </cell>
          <cell r="G30">
            <v>157074000</v>
          </cell>
          <cell r="I30" t="str">
            <v>TECNOLOGÍAS Y SIST. DE INF.</v>
          </cell>
          <cell r="J30" t="str">
            <v>INGRID PICÓN</v>
          </cell>
          <cell r="O30">
            <v>46037</v>
          </cell>
          <cell r="P30">
            <v>46038</v>
          </cell>
          <cell r="Q30">
            <v>46387</v>
          </cell>
          <cell r="Z30" t="str">
            <v>NO</v>
          </cell>
        </row>
        <row r="31">
          <cell r="A31" t="str">
            <v>CONTRATO 30 DE 2026</v>
          </cell>
          <cell r="B31" t="str">
            <v xml:space="preserve">JOHAN RINCON </v>
          </cell>
          <cell r="C31" t="str">
            <v>PN</v>
          </cell>
          <cell r="E31" t="str">
            <v>Prestación de servicios profesionales o Apoyo a la gestión</v>
          </cell>
          <cell r="F31"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y al Plan de Acción año 2026, en cumplimiento de la Política de Gobierno Digital.</v>
          </cell>
          <cell r="G31">
            <v>157074000</v>
          </cell>
          <cell r="I31" t="str">
            <v>TECNOLOGÍAS Y SIST. DE INF.</v>
          </cell>
          <cell r="J31" t="str">
            <v>INGRID PICÓN</v>
          </cell>
          <cell r="O31">
            <v>46037</v>
          </cell>
          <cell r="P31">
            <v>46038</v>
          </cell>
          <cell r="Q31">
            <v>46387</v>
          </cell>
          <cell r="Z31" t="str">
            <v>NO</v>
          </cell>
        </row>
        <row r="32">
          <cell r="A32" t="str">
            <v>CONTRATO 31 DE 2026</v>
          </cell>
          <cell r="B32" t="str">
            <v>CULLEN INTERNATIONAL</v>
          </cell>
          <cell r="C32" t="str">
            <v>PJ</v>
          </cell>
          <cell r="E32" t="str">
            <v>Contratación directa</v>
          </cell>
          <cell r="F32" t="str">
            <v xml:space="preserve">Contratar la suscripción a la plataforma MY CULLEN de CULLEN INTERNATIONAL S.A. para el monitoreo de tendencias y desarrollos regulatorios a nivel internacional en materia de servicios de telecomunicaciones, postales y contenidos audiovisuales. </v>
          </cell>
          <cell r="G32">
            <v>615230000</v>
          </cell>
          <cell r="I32" t="str">
            <v>ANALÍTICA DE DATOS</v>
          </cell>
          <cell r="J32" t="str">
            <v>MIGUEL DURÁN</v>
          </cell>
          <cell r="O32">
            <v>46042</v>
          </cell>
          <cell r="P32">
            <v>46055</v>
          </cell>
          <cell r="Q32">
            <v>46439</v>
          </cell>
          <cell r="Z32" t="str">
            <v>N/A</v>
          </cell>
        </row>
        <row r="33">
          <cell r="A33" t="str">
            <v>CONTRATO 32 DE 2026</v>
          </cell>
          <cell r="B33" t="str">
            <v>LUIS CARLOS URRUITA</v>
          </cell>
          <cell r="C33" t="str">
            <v>PN</v>
          </cell>
          <cell r="E33" t="str">
            <v>Prestación de servicios profesionales o Apoyo a la gestión</v>
          </cell>
          <cell r="F33" t="str">
            <v>Prestar servicios profesionales para brindar apoyo en el diseño, ejecución y evaluación de estrategias orientadas al fortalecimiento de entornos audiovisuales seguros, la generación y difusión de herramientas de alfabetización mediática e informacional, el trabajo y articulación con operadores del servicio de televisión y el pluralismo informativo, en el marco de los proyectos contemplados dentro de la Agenda Regulatoria y el Plan de Acción 2026.</v>
          </cell>
          <cell r="G33">
            <v>159999500</v>
          </cell>
          <cell r="I33" t="str">
            <v>PEDAGOGÍA REGULATORIA</v>
          </cell>
          <cell r="J33" t="str">
            <v>RICARDO RAMÍREZ</v>
          </cell>
          <cell r="O33">
            <v>46036</v>
          </cell>
          <cell r="P33">
            <v>46038</v>
          </cell>
          <cell r="Q33">
            <v>46387</v>
          </cell>
          <cell r="Z33" t="str">
            <v>NO</v>
          </cell>
        </row>
        <row r="34">
          <cell r="A34" t="str">
            <v>CONTRATO 33 DE 2026</v>
          </cell>
          <cell r="B34" t="str">
            <v>ROBERTO BALTRA CONSULTORÍAS E.I.R.L.</v>
          </cell>
          <cell r="C34" t="str">
            <v>PJ</v>
          </cell>
          <cell r="E34" t="str">
            <v>Prestación de servicios profesionales o Apoyo a la gestión</v>
          </cell>
          <cell r="F34" t="str">
            <v>Prestación de servicios profesionales altamente especializados en materia de economía y regulación de mercados de telecomunicaciones para apoyar y acompañar a la CRC en el desarrollo de actividades técnicas, económicas y regulatorias relacionadas con la construcción y análisis de modelos de costos convergentes para redes fijas y móviles; la elaboración de estudios y ejercicios de costeo requeridos en el proyecto «Regulación para el aprovechamiento y compartición de infraestructura de otros sectores para el despliegue de redes de comunicaciones»; el análisis económico y de costos asociado a iniciativas de conectividad mayorista local, incluyendo redes municipales neutrales de fibra óptica; y el acompañamiento técnico especializado en la discusión sectorial de los proyectos «Esquemas de remuneración móvil» y «Evaluación de costos para la reconexión de servicios de telecomunicaciones», previsto en la Agenda Regulatoria 2026–2027, garantizando continuidad metodológica con el modelo de empresa eficiente móvil desarrollado en la vigencia 2025, así como la generación de insumos económicos y regulatorios que permitan sustentar las decisiones de la Comisión.</v>
          </cell>
          <cell r="G34">
            <v>410000000</v>
          </cell>
          <cell r="I34" t="str">
            <v>DISEÑO REGULATORIO</v>
          </cell>
          <cell r="J34" t="str">
            <v>ALEJANDRA ARENAS</v>
          </cell>
          <cell r="O34">
            <v>46036</v>
          </cell>
          <cell r="P34">
            <v>46037</v>
          </cell>
          <cell r="Q34">
            <v>46387</v>
          </cell>
          <cell r="Z34" t="str">
            <v>N/A</v>
          </cell>
        </row>
        <row r="35">
          <cell r="A35" t="str">
            <v>CONTRATO 34 DE 2026</v>
          </cell>
          <cell r="B35" t="str">
            <v>AVANCE JURIDICO CASA EDITORIAL</v>
          </cell>
          <cell r="C35" t="str">
            <v>PJ</v>
          </cell>
          <cell r="E35" t="str">
            <v>Contratación directa</v>
          </cell>
          <cell r="F35" t="str">
            <v>Actualización permanente de la Resolución CRC 5050 de 2016 en relación con los conceptos, línea decisional, doctrina concordante, circulares y notas de vigencia, así como la compilación y actualización de las normas complementarias que son transversales a todas las entidades públicas, integrado en el Normograma de la CRC.</v>
          </cell>
          <cell r="G35">
            <v>157206840</v>
          </cell>
          <cell r="I35" t="str">
            <v>COORDINACIÓN EJECUTIVA</v>
          </cell>
          <cell r="J35" t="str">
            <v>LUZ MIREYA GARZÓN</v>
          </cell>
          <cell r="O35">
            <v>46037</v>
          </cell>
          <cell r="P35">
            <v>46038</v>
          </cell>
          <cell r="Q35">
            <v>46387</v>
          </cell>
          <cell r="Z35" t="str">
            <v>N/A</v>
          </cell>
        </row>
        <row r="36">
          <cell r="A36" t="str">
            <v>CONTRATO 35 DE 2026</v>
          </cell>
          <cell r="C36" t="str">
            <v>PN</v>
          </cell>
          <cell r="E36" t="str">
            <v>Prestación de servicios profesionales o Apoyo a la gestión</v>
          </cell>
          <cell r="F36" t="str">
            <v>Prestación de servicios profesionales altamente especializados en materia de economía y análisis cuantitativo, orientados a brindar soporte especializado en la formulación y ejecución de proyectos regulatorios, así como en otras actividades desarrolladas por la Comisión de Regulación de Comunicaciones (CRC) en el marco de su Plan de Acción para 2026 y la Agenda Regulatoria 2026-2027</v>
          </cell>
          <cell r="G36">
            <v>243362400</v>
          </cell>
          <cell r="I36" t="str">
            <v>DISEÑO REGULATORIO / ANALÍTICA DE DATOS</v>
          </cell>
          <cell r="J36" t="str">
            <v>ALEJANDRA ARENAS</v>
          </cell>
          <cell r="O36">
            <v>46042</v>
          </cell>
          <cell r="P36">
            <v>46044</v>
          </cell>
          <cell r="Q36">
            <v>46387</v>
          </cell>
          <cell r="Z36" t="str">
            <v>N/A</v>
          </cell>
        </row>
        <row r="37">
          <cell r="A37" t="str">
            <v>CONTRATO 36 DE 2026</v>
          </cell>
          <cell r="B37" t="str">
            <v>JUAN CARLOS NIÑO</v>
          </cell>
          <cell r="C37" t="str">
            <v>PN</v>
          </cell>
          <cell r="E37" t="str">
            <v>Prestación de servicios profesionales o Apoyo a la gestión</v>
          </cell>
          <cell r="F37" t="str">
            <v>Prestacion de servicios profesionales especializados en las áreas del conocimiento de contabilidad y auditoría, integrando actividades de análisis y revisión de información financiera de los agentes regulados por la CRC, así como la aplicación e interpretación de las Normas Internacionales de la Información Financiera (NIIF), con el fin de respaldar y fortalecer el desarrollo de proyectos regulatorios y otras actividades misionales de la Entidad, incluido el observatorio de inversión en telecomunicaciones, de acuerdo con lo previsto en la Agenda Regulatoria 2026–2027 y el Plan de Acción de la CRC para el año 2026.</v>
          </cell>
          <cell r="G37">
            <v>154992000</v>
          </cell>
          <cell r="I37" t="str">
            <v>DISEÑO REGULATORIO / ANALÍTICA DE DATOS</v>
          </cell>
          <cell r="J37" t="str">
            <v>MIGUEL DURÁN</v>
          </cell>
          <cell r="O37">
            <v>46037</v>
          </cell>
          <cell r="P37">
            <v>46041</v>
          </cell>
          <cell r="Q37">
            <v>46387</v>
          </cell>
          <cell r="Z37" t="str">
            <v>NO</v>
          </cell>
        </row>
        <row r="38">
          <cell r="A38" t="str">
            <v>CONTRATO 37 DE 2026</v>
          </cell>
          <cell r="B38" t="str">
            <v>JUAN DAVID BOTERO</v>
          </cell>
          <cell r="C38" t="str">
            <v>PN</v>
          </cell>
          <cell r="E38" t="str">
            <v>Prestación de servicios profesionales o Apoyo a la gestión</v>
          </cell>
          <cell r="F38" t="str">
            <v>prestar servicios profesionales especializados en urbanismo, planificación territorial y diseño arquitectónico para brindar asistencia técnica a la CRC en el análisis, revisión y formulación de insumos que permitan identificar y gestionar condiciones urbanísticas que incidan en el despliegue de infraestructura de telecomunicaciones del país. El servicio incluirá la elaboración de conceptos técnicos asociados a la actualización del Reglamento Técnico para Redes Internas de Telecomunicaciones (RITEL), expedido mediante la Resolución CRC 7930 de 2025, así como el soporte en temas arquitectónicos y urbanísticos que resulten pertinentes conforme a la Agenda Regulatoria 2026–2027 y al Plan de Acción de la CRC para el año 2026</v>
          </cell>
          <cell r="G38">
            <v>112943604</v>
          </cell>
          <cell r="I38" t="str">
            <v>GESTIÓN JURÍDICA</v>
          </cell>
          <cell r="J38" t="str">
            <v>VICTOR SANDOVAL</v>
          </cell>
          <cell r="O38">
            <v>46037</v>
          </cell>
          <cell r="P38">
            <v>46042</v>
          </cell>
          <cell r="Q38">
            <v>46387</v>
          </cell>
          <cell r="Z38" t="str">
            <v>NO</v>
          </cell>
        </row>
        <row r="39">
          <cell r="A39" t="str">
            <v>CONTRATO 38 DE 2026</v>
          </cell>
          <cell r="B39" t="str">
            <v xml:space="preserve">JUAN NICOLAS AYALA RODRIGUEZ  </v>
          </cell>
          <cell r="C39" t="str">
            <v>PN</v>
          </cell>
          <cell r="E39" t="str">
            <v>Prestación de servicios profesionales o Apoyo a la gestión</v>
          </cell>
          <cell r="F39" t="str">
            <v>Prestar los servicios profesionales especializados para apoyar la implementación y gestión del modelo de seguridad y privacidad de la información de la Comisión de Regulación de Comunicaciones – CRC, mediante la operación y consolidación del Sistema de Gestión de Seguridad y Privacidad de la Información (SGSPI); así como, ejercer el acompañamiento que se requiera en el proceso de liderazgo para la ejecución y fortalecimiento del Sistema de Gestión de Continuidad del Negocio – SGCN, de acuerdo con el alcance definido para la vigencia 2026.</v>
          </cell>
          <cell r="G39">
            <v>172500000</v>
          </cell>
          <cell r="I39" t="str">
            <v>PLANEACIÓN Y GESTIÓN / TECNOLOGÍAS Y SIST. DE INF.</v>
          </cell>
          <cell r="J39" t="str">
            <v>SANDRA VILLABONA / INGRID PICÓN</v>
          </cell>
          <cell r="O39">
            <v>46037</v>
          </cell>
          <cell r="P39">
            <v>46038</v>
          </cell>
          <cell r="Q39">
            <v>46387</v>
          </cell>
          <cell r="Z39" t="str">
            <v>N/A</v>
          </cell>
        </row>
        <row r="40">
          <cell r="A40" t="str">
            <v>CONTRATO 39 DE 2026</v>
          </cell>
          <cell r="B40" t="str">
            <v>COMPENSAR</v>
          </cell>
          <cell r="C40" t="str">
            <v>PJ</v>
          </cell>
          <cell r="E40" t="str">
            <v>Prestación de servicios profesionales o Apoyo a la gestión</v>
          </cell>
          <cell r="F40" t="str">
            <v xml:space="preserve">Prestación de servicios de apoyo a la gestión en el desarrollo de acciones para el fortalecimiento de la gestión estratégica del talento humano en la CRC, encaminadas a la ejecución de actividades relacionadas con el cumplimiento de los planes y programas correspondientes a las políticas de la dimensión de talento humano del modelo integrado de planeación y gestión - MIPG en la comisión de regulación de comunicaciones (bienestar social, capacitación, SST, actividades culturales, deportivas, recreativas y formativas, entre otros). </v>
          </cell>
          <cell r="G40">
            <v>420343000</v>
          </cell>
          <cell r="I40" t="str">
            <v>GESTIÓN ADM. Y FIN</v>
          </cell>
          <cell r="J40" t="str">
            <v>DIANA WILCHES</v>
          </cell>
          <cell r="O40">
            <v>46048</v>
          </cell>
          <cell r="P40">
            <v>46052</v>
          </cell>
          <cell r="Q40">
            <v>46377</v>
          </cell>
          <cell r="Z40" t="str">
            <v>N/A</v>
          </cell>
        </row>
        <row r="41">
          <cell r="A41" t="str">
            <v>CONTRATO 40 DE 2026</v>
          </cell>
          <cell r="B41" t="str">
            <v xml:space="preserve">KANTAR IBOPE MEDIA </v>
          </cell>
          <cell r="C41" t="str">
            <v>PJ</v>
          </cell>
          <cell r="E41" t="str">
            <v>Contratación directa</v>
          </cell>
          <cell r="F41" t="str">
            <v xml:space="preserve">Adquirir la información exclusiva de Kantar Ibope Media Colombia S.A.S. de medición de audiencias con la tecnología People Meters para los servicios de televisión abierta, que posibilite realizar una medición de audiencias respecto del consumo de televisión y de información de pauta publicitaria de bebidas alcohólicas, para los meses de enero a noviembre de 2026.
</v>
          </cell>
          <cell r="G41">
            <v>157080000</v>
          </cell>
          <cell r="I41" t="str">
            <v>ANALÍTICA DE DATOS</v>
          </cell>
          <cell r="J41" t="str">
            <v>MIGUEL DURÁN</v>
          </cell>
          <cell r="O41">
            <v>46043</v>
          </cell>
          <cell r="P41">
            <v>46049</v>
          </cell>
          <cell r="Q41">
            <v>46387</v>
          </cell>
          <cell r="Z41" t="str">
            <v>N/A</v>
          </cell>
        </row>
        <row r="42">
          <cell r="A42" t="str">
            <v>CONTRATO 41 DE 2026</v>
          </cell>
          <cell r="C42" t="str">
            <v>PN</v>
          </cell>
          <cell r="E42" t="str">
            <v>Prestación de servicios profesionales o Apoyo a la gestión</v>
          </cell>
          <cell r="F42" t="str">
            <v>Prestación de servicios profesionales altamente especializados para el análisis regulatorio y económico de mercados de telecomunicaciones y ecosistemas digitales, con énfasis en neutralidad de red, conectividad mayorista, esquemas de remuneración móvil, servicios OTT y nuevas tecnologías de acceso de última milla, para apoyar la estructuración y desarrollo de los proyectos y estudios de las coordinaciones de Diseño Regulatorio y Prospectiva Estratégica e Innovación, conforme a lo previsto en el plan de acción de la CRC en la vigencia y la Agenda Regulatoria 2026-2027.</v>
          </cell>
          <cell r="G42">
            <v>146729314</v>
          </cell>
          <cell r="I42" t="str">
            <v>DISEÑO REGULATORIO</v>
          </cell>
          <cell r="J42" t="str">
            <v>ALEJANDRA ARENAS</v>
          </cell>
          <cell r="O42">
            <v>46045</v>
          </cell>
          <cell r="P42">
            <v>46045</v>
          </cell>
          <cell r="Q42">
            <v>46387</v>
          </cell>
          <cell r="Z42" t="str">
            <v>NO</v>
          </cell>
        </row>
        <row r="43">
          <cell r="A43" t="str">
            <v>CONTRATO 42 DE 2026</v>
          </cell>
          <cell r="B43" t="str">
            <v>LUISA TÉLLEZ</v>
          </cell>
          <cell r="C43" t="str">
            <v>PN</v>
          </cell>
          <cell r="E43" t="str">
            <v>Prestación de servicios profesionales o Apoyo a la gestión</v>
          </cell>
          <cell r="F43" t="str">
            <v xml:space="preserve">Prestar servicios profesionales para apoyar las estrategias de pedagogía regulatoria y de alfabetización mediática 2026 de la CRC, mediante la conceptualización, producción y entrega de piezas y contenidos gráficos y audiovisuales con fines educativos y de difusión, garantizando calidad técnica, coherencia con la identidad visual, accesibilidad y comunicación inclusiva, utilizando sus propios equipos y actuando con autonomía profesional. </v>
          </cell>
          <cell r="G43">
            <v>70575500</v>
          </cell>
          <cell r="I43" t="str">
            <v>PEDAGOGÍA REGULATORIA</v>
          </cell>
          <cell r="J43" t="str">
            <v>RICARDO RAMÍREZ</v>
          </cell>
          <cell r="O43">
            <v>46036</v>
          </cell>
          <cell r="P43">
            <v>46038</v>
          </cell>
          <cell r="Q43">
            <v>46387</v>
          </cell>
          <cell r="Z43" t="str">
            <v>NO</v>
          </cell>
        </row>
        <row r="44">
          <cell r="A44" t="str">
            <v>CONTRATO 43 DE 2026</v>
          </cell>
          <cell r="B44" t="str">
            <v>DUQUE BOTERO CONSULTORES</v>
          </cell>
          <cell r="C44" t="str">
            <v>PJ</v>
          </cell>
          <cell r="E44" t="str">
            <v>Prestación de servicios profesionales o Apoyo a la gestión</v>
          </cell>
          <cell r="F44" t="str">
            <v>Prestar servicios profesionales en derecho, con énfasis en derecho administrativo y contratación estatal, para ofrecer apoyo jurídico especializado a la CRC mediante la elaboración de conceptos, análisis normativos y acompañamiento jurídico en los procesos precontractuales, contractuales y postcontractuales que adelante la Entidad. El servicio incluirá la revisión de asuntos jurídicos complejos y la formulación de recomendaciones que contribuyan a la adecuada gestión contractual y regulatoria en el marco del Plan de Acción Institucional y de las actividades que la Entidad programe para la vigencia 2026.</v>
          </cell>
          <cell r="G44">
            <v>40232830</v>
          </cell>
          <cell r="I44" t="str">
            <v>COORDINACIÓN EJECUTIVA</v>
          </cell>
          <cell r="J44" t="str">
            <v>MARGARITA GIL</v>
          </cell>
          <cell r="O44">
            <v>46036</v>
          </cell>
          <cell r="P44">
            <v>46037</v>
          </cell>
          <cell r="Q44">
            <v>46387</v>
          </cell>
          <cell r="Z44" t="str">
            <v>N/A</v>
          </cell>
        </row>
        <row r="45">
          <cell r="A45" t="str">
            <v>CONTRATO 44 DE 2026</v>
          </cell>
          <cell r="B45" t="str">
            <v>PEDRO JOSE LEAL MESA</v>
          </cell>
          <cell r="C45" t="str">
            <v>PN</v>
          </cell>
          <cell r="E45" t="str">
            <v>Prestación de servicios profesionales o Apoyo a la gestión</v>
          </cell>
          <cell r="F45" t="str">
            <v xml:space="preserve">
Prestación de servicios profesionales para apoyar el desarrollo y optimización de herramientas de analítica y visualización de datos, de acuerdo con lo previsto en la Agenda Regulatoria 2026-2027 y el Plan de Acción de la CRC para el año 2026.
</v>
          </cell>
          <cell r="G45">
            <v>66294096</v>
          </cell>
          <cell r="I45" t="str">
            <v>ANALÍTICA DE DATOS</v>
          </cell>
          <cell r="J45" t="str">
            <v>MIGUEL DURÁN</v>
          </cell>
          <cell r="O45">
            <v>46037</v>
          </cell>
          <cell r="P45">
            <v>46038</v>
          </cell>
          <cell r="Q45">
            <v>46387</v>
          </cell>
          <cell r="Z45" t="str">
            <v>SI</v>
          </cell>
        </row>
        <row r="46">
          <cell r="A46" t="str">
            <v>CONTRATO 45 DE 2026</v>
          </cell>
          <cell r="C46" t="str">
            <v>PN</v>
          </cell>
          <cell r="E46" t="str">
            <v>Prestación de servicios profesionales o Apoyo a la gestión</v>
          </cell>
          <cell r="F46" t="str">
            <v>Prestar servicios profesionales altamente especializados en el área del derecho de las telecomunicaciones, la regulación económica y el derecho de la competencia, tendiente a apoyar a la Comisión de Regulación de Comunicaciones (CRC) en el análisis, desarrollo y fortalecimiento de sus estrategias jurídicas y regulatorias. El objetivo es contribuir eficazmente a la prevención del daño antijurídico, desde la expedición de actos administrativos complejos hasta la defensa de estos en estrados judiciales</v>
          </cell>
          <cell r="G46">
            <v>487143000</v>
          </cell>
          <cell r="I46" t="str">
            <v>DISEÑO REGULATORIO / GESTIÓN JURÍDICA</v>
          </cell>
          <cell r="J46" t="str">
            <v>VICTOR SANDOVAL</v>
          </cell>
          <cell r="O46">
            <v>46037</v>
          </cell>
          <cell r="P46">
            <v>46043</v>
          </cell>
          <cell r="Q46">
            <v>46387</v>
          </cell>
          <cell r="Z46" t="str">
            <v>NO</v>
          </cell>
        </row>
        <row r="47">
          <cell r="A47" t="str">
            <v>CONTRATO 46 DE 2026</v>
          </cell>
          <cell r="C47" t="str">
            <v>PN</v>
          </cell>
          <cell r="E47" t="str">
            <v>Prestación de servicios profesionales o Apoyo a la gestión</v>
          </cell>
          <cell r="F47" t="str">
            <v>Contratar servicios profesionales especializados en el ámbito del derecho público, orientados a la prestación de apoyo jurídico estratégico a la Comisión de Regulación de Comunicaciones – CRC en la atención, análisis y gestión de asuntos jurídicos de alta complejidad en materia de derecho administrativo, derecho administrativo laboral, régimen sancionatorio y disciplinario. El servicio comprenderá la elaboración de análisis jurídicos, la formulación de estrategias de defensa y el acompañamiento técnico-jurídico en los procesos judiciales y actuaciones administrativas en los que intervenga la Entidad, de conformidad con sus competencias y necesidades institucionales</v>
          </cell>
          <cell r="G47">
            <v>200299995</v>
          </cell>
          <cell r="I47" t="str">
            <v>GESTIÓN JURÍDICA</v>
          </cell>
          <cell r="J47" t="str">
            <v>VICTOR SANDOVAL</v>
          </cell>
          <cell r="O47">
            <v>46036</v>
          </cell>
          <cell r="P47">
            <v>46041</v>
          </cell>
          <cell r="Q47">
            <v>46387</v>
          </cell>
          <cell r="Z47" t="str">
            <v>NO</v>
          </cell>
        </row>
        <row r="48">
          <cell r="A48" t="str">
            <v>CONTRATO 47 DE 2026</v>
          </cell>
          <cell r="B48" t="str">
            <v>MARCELLO CORREA</v>
          </cell>
          <cell r="C48" t="str">
            <v>PN</v>
          </cell>
          <cell r="E48" t="str">
            <v>Prestación de servicios profesionales o Apoyo a la gestión</v>
          </cell>
          <cell r="F48" t="str">
            <v>Brindar apoyo profesional para observar, analizar y evaluar contenidos audiovisuales con el fin de generar informes y reportes sobre el cumplimiento de los lineamientos legales y reglamentarios de dichos contenidos respecto del pluralismo e imparcialidad informativos, en el marco de los proyectos contemplados dentro de la Agenda Regulatoria y el Plan de Acción 2026</v>
          </cell>
          <cell r="G48">
            <v>40000000</v>
          </cell>
          <cell r="I48" t="str">
            <v>PEDAGOGÍA REGULATORIA</v>
          </cell>
          <cell r="J48" t="str">
            <v>RICARDO RAMÍREZ</v>
          </cell>
          <cell r="O48">
            <v>46042</v>
          </cell>
          <cell r="P48">
            <v>46048</v>
          </cell>
          <cell r="Q48">
            <v>46351</v>
          </cell>
          <cell r="Z48" t="str">
            <v>SI</v>
          </cell>
        </row>
        <row r="49">
          <cell r="A49" t="str">
            <v>CONTRATO 48 DE 2026</v>
          </cell>
          <cell r="B49" t="str">
            <v>DANIEL FEDERICO CLAVIJO DUEÑAS</v>
          </cell>
          <cell r="C49" t="str">
            <v>PN</v>
          </cell>
          <cell r="E49" t="str">
            <v>Prestación de servicios profesionales o Apoyo a la gestión</v>
          </cell>
          <cell r="F49" t="str">
            <v>Brindar apoyo profesional para observar, analizar y evaluar contenidos audiovisuales con el fin de generar informes y reportes sobre el cumplimiento de los lineamientos legales y reglamentarios de dichos contenidos respecto del pluralismo e imparcialidad informativos, en el marco de los proyectos contemplados dentro de la Agenda Regulatoria y el Plan de Acción 2026.</v>
          </cell>
          <cell r="G49">
            <v>40000000</v>
          </cell>
          <cell r="I49" t="str">
            <v>PEDAGOGÍA REGULATORIA</v>
          </cell>
          <cell r="J49" t="str">
            <v>RICARDO RAMÍREZ</v>
          </cell>
          <cell r="O49">
            <v>46041</v>
          </cell>
          <cell r="P49">
            <v>46048</v>
          </cell>
          <cell r="Q49">
            <v>46351</v>
          </cell>
          <cell r="Z49" t="str">
            <v>SI</v>
          </cell>
        </row>
        <row r="50">
          <cell r="A50" t="str">
            <v>CONTRATO 49 DE 2026</v>
          </cell>
          <cell r="B50" t="str">
            <v>DARLY DÍAZ LATORRE</v>
          </cell>
          <cell r="C50" t="str">
            <v>PN</v>
          </cell>
          <cell r="E50" t="str">
            <v>Prestación de servicios profesionales o Apoyo a la gestión</v>
          </cell>
          <cell r="F50" t="str">
            <v>Brindar apoyo profesional para observar, analizar y evaluar contenidos audiovisuales con el fin de generar informes y reportes sobre el cumplimiento de los lineamientos legales y reglamentarios de dichos contenidos respecto del pluralismo e imparcialidad informativos, en el marco de los proyectos contemplados dentro de la Agenda Regulatoria y el Plan de Acción 2026.</v>
          </cell>
          <cell r="G50">
            <v>40000000</v>
          </cell>
          <cell r="I50" t="str">
            <v>PEDAGOGÍA REGULATORIA</v>
          </cell>
          <cell r="J50" t="str">
            <v>RICARDO RAMÍREZ</v>
          </cell>
          <cell r="O50">
            <v>46041</v>
          </cell>
          <cell r="P50">
            <v>46048</v>
          </cell>
          <cell r="Q50">
            <v>46352</v>
          </cell>
          <cell r="Z50" t="str">
            <v>NO</v>
          </cell>
        </row>
        <row r="51">
          <cell r="A51" t="str">
            <v>CONTRATO 50 DE 2026</v>
          </cell>
          <cell r="B51" t="str">
            <v>FABIO ARIAS</v>
          </cell>
          <cell r="C51" t="str">
            <v>PN</v>
          </cell>
          <cell r="E51" t="str">
            <v>Prestación de servicios profesionales o Apoyo a la gestión</v>
          </cell>
          <cell r="F51"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relacionados con la automatización y gestión de los Datos relacionados con los servicios de telecomunicaciones, postales y de contenidos audiovisuales.</v>
          </cell>
          <cell r="G51">
            <v>150244670</v>
          </cell>
          <cell r="I51" t="str">
            <v>TECNOLOGÍAS Y SIST. DE INF.</v>
          </cell>
          <cell r="J51" t="str">
            <v>INGRID PICÓN</v>
          </cell>
          <cell r="O51">
            <v>46042</v>
          </cell>
          <cell r="P51">
            <v>46055</v>
          </cell>
          <cell r="Q51">
            <v>46387</v>
          </cell>
          <cell r="Z51" t="str">
            <v>N/A</v>
          </cell>
        </row>
        <row r="52">
          <cell r="A52" t="str">
            <v>CONTRATO 51 DE 2026</v>
          </cell>
          <cell r="B52" t="str">
            <v>VICTORIA CLAVIJO</v>
          </cell>
          <cell r="C52" t="str">
            <v>PN</v>
          </cell>
          <cell r="E52" t="str">
            <v>Prestación de servicios profesionales o Apoyo a la gestión</v>
          </cell>
          <cell r="F52"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2026 relacionados con la automatización y gestión de los Datos relacionados con los servicios de telecomunicaciones, postales y de contenidos audiovisuales.</v>
          </cell>
          <cell r="G52">
            <v>150244670</v>
          </cell>
          <cell r="I52" t="str">
            <v>TECNOLOGÍAS Y SIST. DE INF.</v>
          </cell>
          <cell r="J52" t="str">
            <v>INGRID PICÓN</v>
          </cell>
          <cell r="O52">
            <v>46043</v>
          </cell>
          <cell r="P52">
            <v>46055</v>
          </cell>
          <cell r="Q52">
            <v>46387</v>
          </cell>
          <cell r="Z52" t="str">
            <v>N/A</v>
          </cell>
        </row>
        <row r="53">
          <cell r="A53" t="str">
            <v>CONTRATO 52 DE 2026</v>
          </cell>
          <cell r="B53" t="str">
            <v>CATALINA BOTERO</v>
          </cell>
          <cell r="C53" t="str">
            <v>PN</v>
          </cell>
          <cell r="E53" t="str">
            <v>Prestación de servicios profesionales o Apoyo a la gestión</v>
          </cell>
          <cell r="F53" t="str">
            <v> Contratar servicios profesionales altamente especializados en el ámbito del derecho constitucional, orientados a la prestación de apoyo jurídico estratégico a la Comisión de Regulación de Comunicaciones – CRC en la atención, análisis y gestión de asuntos jurídicos de alta complejidad en materia de derecho constitucional, en particular los relacionados con las competencias de la CRC en materia de pluralismo e imparcialidad informativos y la protección de derechos de niños, niñas y adolescentes en los contenidos. El servicio comprenderá la elaboración de análisis jurídicos, el acompañamiento técnico-jurídico en los procesos regulatorios requeridos y la asesoría en actuaciones administrativas que adelante la Entidad en las materias objeto del contrato, de conformidad con sus competencias y necesidades institucionales.</v>
          </cell>
          <cell r="G53">
            <v>120000000</v>
          </cell>
          <cell r="I53" t="str">
            <v>GESTIÓN JURÍDICA / PEDAGOGÍA REGULATORIA</v>
          </cell>
          <cell r="J53" t="str">
            <v>VICTOR SANDOVAL /RICARDO RAMÍREZ</v>
          </cell>
          <cell r="O53">
            <v>46043</v>
          </cell>
          <cell r="P53">
            <v>46048</v>
          </cell>
          <cell r="Q53">
            <v>46387</v>
          </cell>
          <cell r="Z53" t="str">
            <v>NO</v>
          </cell>
        </row>
        <row r="54">
          <cell r="A54" t="str">
            <v>CONTRATO 53 DE 2026</v>
          </cell>
          <cell r="B54" t="str">
            <v>HANSON GARZÓN</v>
          </cell>
          <cell r="C54" t="str">
            <v>PN</v>
          </cell>
          <cell r="E54" t="str">
            <v>Prestación de servicios profesionales o Apoyo a la gestión</v>
          </cell>
          <cell r="F54" t="str">
            <v xml:space="preserve">Prestar los servicios profesionales especializados como Ingeniero, brindando el apoyo en la gestión y acompañamiento técnico para la ejecución de las actividades relacionadas con el análisis de requerimientos, aseguramiento de la calidad de software y gestión de pruebas especializadas tanto funcionales y no funcionales de los proyectos de desarrollo tecnológico que hacen parte del Plan Estratégico de Tecnología (PETI) 2026 relacionados con la automatización y gestión de los Datos relacionados con los servicios de telecomunicaciones, postales y de contenidos audiovisuales.
</v>
          </cell>
          <cell r="G54">
            <v>99000000</v>
          </cell>
          <cell r="I54" t="str">
            <v>TECNOLOGÍAS Y SIST. DE INF.</v>
          </cell>
          <cell r="J54" t="str">
            <v>INGRID PICÓN</v>
          </cell>
          <cell r="O54">
            <v>46042</v>
          </cell>
          <cell r="P54">
            <v>46055</v>
          </cell>
          <cell r="Q54">
            <v>46387</v>
          </cell>
          <cell r="Z54" t="str">
            <v>NO</v>
          </cell>
        </row>
        <row r="55">
          <cell r="A55" t="str">
            <v>CONTRATO 54 DE 2026</v>
          </cell>
          <cell r="B55" t="str">
            <v>ADRIANA CAROLINA SANTISTEBAN GALAN</v>
          </cell>
          <cell r="C55" t="str">
            <v>PN</v>
          </cell>
          <cell r="E55" t="str">
            <v>Prestación de servicios profesionales o Apoyo a la gestión</v>
          </cell>
          <cell r="F55" t="str">
            <v>Prestación de servicios profesionales para brindar apoyo jurídico especializado a la CRC en el desarrollo de sus actividades misionales, orientado principalmente al análisis, sustanciación y trámite de actuaciones administrativas, en especial en materia de solución de controversias, imposición de servidumbres de acceso, uso e interconexión y actuaciones en contenidos audiovisuales, actuaciones de inspección, vigilancia y control en materia de contenidos audiovisuales, así como al acompañamiento jurídico en proyectos regulatorios que adelante la entidad en el marco de la Agenda Regulatoria 2026-2027 y el Plan de Acción Institucional, y a la elaboración de respuestas a solicitudes y conceptos jurídicos especializados, en apoyo a los Grupos Internos de Trabajo de Gestión Jurídica, Gestión Audiovisual y Pedagogía Regulatoria y Diseño Regulatorio.</v>
          </cell>
          <cell r="G55">
            <v>195500000</v>
          </cell>
          <cell r="I55" t="str">
            <v>GESTIÓN JURÍDICA</v>
          </cell>
          <cell r="J55" t="str">
            <v>VICTOR SANDOVAL</v>
          </cell>
          <cell r="O55">
            <v>46042</v>
          </cell>
          <cell r="P55">
            <v>46043</v>
          </cell>
          <cell r="Q55">
            <v>46387</v>
          </cell>
          <cell r="Z55" t="str">
            <v>NO</v>
          </cell>
        </row>
        <row r="56">
          <cell r="A56" t="str">
            <v>CONTRATO 55 DE 2026</v>
          </cell>
          <cell r="B56" t="str">
            <v xml:space="preserve">JUAN JOSE GALEANO HERMOSA </v>
          </cell>
          <cell r="C56" t="str">
            <v>PN</v>
          </cell>
          <cell r="E56" t="str">
            <v>Prestación de servicios profesionales o Apoyo a la gestión</v>
          </cell>
          <cell r="F56" t="str">
            <v>Prestación de servicios profesionales en materia de análisis de datos, para apoyar en el desarrollo de las actividades de las Coordinaciones de Analítica de Datos y Prospectiva Estratégica e Innovación, relacionadas con la extracción, transformación, procesamiento y visualización de datos, así como la elaboración de estudios sectoriales para fortalecer el conocimiento del ecosistema digital, de acuerdo con lo previsto en la Agenda Regulatoria 2026-2027 y Plan de Acción de la CRC para el año 2026.</v>
          </cell>
          <cell r="G56">
            <v>137500000</v>
          </cell>
          <cell r="I56" t="str">
            <v>ANALÍTICA DE DATOS / INNOVACIÓN Y PROSPECTIVA</v>
          </cell>
          <cell r="J56" t="str">
            <v>VICTOR BALDRICH / MIGUEL DURÁN</v>
          </cell>
          <cell r="O56">
            <v>46049</v>
          </cell>
          <cell r="P56">
            <v>46055</v>
          </cell>
          <cell r="Q56">
            <v>46387</v>
          </cell>
          <cell r="Z56" t="str">
            <v>NO</v>
          </cell>
        </row>
        <row r="57">
          <cell r="A57" t="str">
            <v>CONTRATO 56 DE 2026</v>
          </cell>
          <cell r="B57" t="str">
            <v xml:space="preserve">LITIGANDO PUNTO COM </v>
          </cell>
          <cell r="C57" t="str">
            <v>PJ</v>
          </cell>
          <cell r="E57" t="str">
            <v>Mínima cuantía</v>
          </cell>
          <cell r="F57" t="str">
            <v>Prestación del servicio de vigilancia y control judicial de los procesos judiciales en los cuales la CRC sea parte o tercero, y que se estén adelantando en cualquiera de los despachos judiciales ubicados en el territorio nacional.</v>
          </cell>
          <cell r="G57">
            <v>4598997</v>
          </cell>
          <cell r="I57" t="str">
            <v>GESTIÓN JURÍDICA</v>
          </cell>
          <cell r="J57" t="str">
            <v>VICTOR SANDOVAL</v>
          </cell>
          <cell r="O57">
            <v>46057</v>
          </cell>
          <cell r="P57">
            <v>46059</v>
          </cell>
          <cell r="Q57">
            <v>46371</v>
          </cell>
          <cell r="Z57" t="str">
            <v>N/A</v>
          </cell>
        </row>
        <row r="58">
          <cell r="A58" t="str">
            <v>CONTRATO 57 DE 2026</v>
          </cell>
          <cell r="B58" t="str">
            <v>NOVATOURS LTDA</v>
          </cell>
          <cell r="C58" t="str">
            <v>PJ</v>
          </cell>
          <cell r="E58" t="str">
            <v>Selección Abreviada Subasta Inversa</v>
          </cell>
          <cell r="F58" t="str">
            <v>Contratar el suministro de tiquetes aéreos nacionales e internacionales necesarios para el desarrollo de las actividades de la Comisión de Regulación de Comunicaciones (CRC), a través de una agencia de viajes.</v>
          </cell>
          <cell r="G58">
            <v>392500000</v>
          </cell>
          <cell r="I58" t="str">
            <v>RELACIONES CON GRUPOS DE VALOR</v>
          </cell>
          <cell r="J58" t="str">
            <v>YAMILE MATEUS</v>
          </cell>
          <cell r="O58">
            <v>46058</v>
          </cell>
          <cell r="P58">
            <v>46062</v>
          </cell>
          <cell r="Q58">
            <v>46387</v>
          </cell>
          <cell r="Z58" t="str">
            <v>N/A</v>
          </cell>
        </row>
        <row r="59">
          <cell r="A59" t="str">
            <v>CONTRATO 58 DE 2026</v>
          </cell>
          <cell r="B59" t="str">
            <v>ORGANIZACIÓN IGP S.A.S.</v>
          </cell>
          <cell r="C59" t="str">
            <v>PJ</v>
          </cell>
          <cell r="E59" t="str">
            <v>Mínima cuantía</v>
          </cell>
          <cell r="F59" t="str">
            <v>Contratar una persona natural o jurídica que provea la prestación de los servicios de conductor de reemplazo para la Comisión de Regulación de Comunicaciones – CRC, en los casos que la entidad lo requiera, durante el 2026.</v>
          </cell>
          <cell r="G59">
            <v>11828210.460000001</v>
          </cell>
          <cell r="I59" t="str">
            <v>GESTIÓN ADM. Y FIN</v>
          </cell>
          <cell r="J59" t="str">
            <v>DIANA WILCHES</v>
          </cell>
          <cell r="O59">
            <v>46062</v>
          </cell>
          <cell r="P59">
            <v>46064</v>
          </cell>
          <cell r="Q59">
            <v>46371</v>
          </cell>
          <cell r="Z59" t="str">
            <v>N/A</v>
          </cell>
        </row>
        <row r="60">
          <cell r="A60" t="str">
            <v>CONTRATO 59 DE 2026</v>
          </cell>
          <cell r="B60" t="str">
            <v>GRUPO EDS AUTOGAS S.A.S.</v>
          </cell>
          <cell r="C60" t="str">
            <v>PJ</v>
          </cell>
          <cell r="E60" t="str">
            <v>Mínima cuantía</v>
          </cell>
          <cell r="F60" t="str">
            <v>suministro de combustible (gasolina corriente) para los vehículos de propiedad de la Comisión de Regulación de Comunicaciones – CRC</v>
          </cell>
          <cell r="G60">
            <v>31930000</v>
          </cell>
          <cell r="I60" t="str">
            <v>GESTIÓN ADM. Y FIN</v>
          </cell>
          <cell r="J60" t="str">
            <v>DIANA WILCHES</v>
          </cell>
          <cell r="O60">
            <v>46077</v>
          </cell>
          <cell r="P60">
            <v>46083</v>
          </cell>
          <cell r="Q60">
            <v>46387</v>
          </cell>
          <cell r="Z60" t="str">
            <v>N/A</v>
          </cell>
        </row>
        <row r="61">
          <cell r="A61" t="str">
            <v>CONTRATO 60 DE 2026</v>
          </cell>
          <cell r="B61" t="str">
            <v>PORTÁTIL S.A.S.</v>
          </cell>
          <cell r="C61" t="str">
            <v>PJ</v>
          </cell>
          <cell r="E61" t="str">
            <v>Mínima cuantía</v>
          </cell>
          <cell r="F61" t="str">
            <v>Renovación de la suscripción por el término de un (1) año de una (1) licencia de la Suite de Adobe Creative Cloud Pro con contrato de licenciamiento VIP para la Comisión de Regulación de Comunicaciones.</v>
          </cell>
          <cell r="G61">
            <v>4055223.4</v>
          </cell>
          <cell r="I61" t="str">
            <v>TECNOLOGÍAS Y SIST. DE INF.</v>
          </cell>
          <cell r="J61" t="str">
            <v>EDWIN ALBERTO VARGAS</v>
          </cell>
          <cell r="O61">
            <v>46084</v>
          </cell>
          <cell r="P61">
            <v>46091</v>
          </cell>
          <cell r="Q61">
            <v>46455</v>
          </cell>
          <cell r="Z61" t="str">
            <v>N/A</v>
          </cell>
        </row>
        <row r="62">
          <cell r="A62" t="str">
            <v>CONTRATO 61 DE 2026</v>
          </cell>
          <cell r="B62" t="str">
            <v>CREAR IMAGEN SAS</v>
          </cell>
          <cell r="C62" t="str">
            <v>PJ</v>
          </cell>
          <cell r="E62" t="str">
            <v>Mínima cuantía</v>
          </cell>
          <cell r="F62" t="str">
            <v>Contratar la prestación del servicio de una plataforma tecnológica tipo SaaS, que permita a la Comisión de Regulación de Comunicaciones gestionar el envío de comunicaciones institucionales masivas a través de correo electrónico durante la vigencia 2026, incluyendo el acceso a la plataforma, soporte técnico y el almacenamiento asociado durante la ejecución del contrato.</v>
          </cell>
          <cell r="G62">
            <v>2987274</v>
          </cell>
          <cell r="I62" t="str">
            <v>RELACIONES CON GRUPOS DE VALOR</v>
          </cell>
          <cell r="J62" t="str">
            <v>ROCIO QUINCHE</v>
          </cell>
          <cell r="O62">
            <v>46084</v>
          </cell>
          <cell r="P62">
            <v>46085</v>
          </cell>
          <cell r="Q62">
            <v>46387</v>
          </cell>
          <cell r="Z62" t="str">
            <v>N/A</v>
          </cell>
        </row>
        <row r="63">
          <cell r="A63" t="str">
            <v>CONTRATO 62 DE 2026</v>
          </cell>
          <cell r="B63" t="str">
            <v>PORTÁTIL S.A.S.</v>
          </cell>
          <cell r="C63" t="str">
            <v>PJ</v>
          </cell>
          <cell r="E63" t="str">
            <v>Mínima cuantía</v>
          </cell>
          <cell r="F63" t="str">
            <v>Renovación de la suscripción por un (1) año de los servicios del software de editor de archivos PDF Adobe Acrobat PRO For Teams con contrato de licenciamiento VIP para la Comisión de Regulación de Comunicaciones.</v>
          </cell>
          <cell r="G63">
            <v>21776085</v>
          </cell>
          <cell r="I63" t="str">
            <v>TECNOLOGÍAS Y SIST. DE INF.</v>
          </cell>
          <cell r="J63" t="str">
            <v>EDWIN ALBERTO VARGAS</v>
          </cell>
          <cell r="O63">
            <v>46085</v>
          </cell>
          <cell r="P63">
            <v>46086</v>
          </cell>
          <cell r="Q63">
            <v>46450</v>
          </cell>
          <cell r="Z63" t="str">
            <v>N/A</v>
          </cell>
        </row>
        <row r="64">
          <cell r="A64" t="str">
            <v>CONTRATO 63 DE 2026</v>
          </cell>
          <cell r="B64" t="str">
            <v>BICODE S.A.S</v>
          </cell>
          <cell r="C64" t="str">
            <v>PJ</v>
          </cell>
          <cell r="E64" t="str">
            <v>Mínima cuantía</v>
          </cell>
          <cell r="F64" t="str">
            <v>Renovar los servicios de Microsoft Azure Suscripción CSP de la Comisión de Regulación de Comunicaciones, con el fin de garantizar recursos tecnológicos que permitan asegurar la disponibilidad y operación de la infraestructura actual; así como el aprovisionamiento de nuevos servicios de computación en la nube que demande el ejercicio misional e institucional de la Entidad y/o el sector de las TICs del país</v>
          </cell>
          <cell r="G64">
            <v>48829827</v>
          </cell>
          <cell r="I64" t="str">
            <v>TECNOLOGÍAS Y SIST. DE INF.</v>
          </cell>
          <cell r="J64" t="str">
            <v>EDWIN ALBERTO VARGAS</v>
          </cell>
          <cell r="O64">
            <v>46087</v>
          </cell>
          <cell r="P64">
            <v>46094</v>
          </cell>
          <cell r="Q64">
            <v>46104</v>
          </cell>
          <cell r="Z64" t="str">
            <v>N/A</v>
          </cell>
        </row>
        <row r="65">
          <cell r="A65" t="str">
            <v>CONTRATO 64 DE 2026</v>
          </cell>
          <cell r="B65" t="str">
            <v>FTL COMUNICACIONES (Mass Medios)</v>
          </cell>
          <cell r="C65" t="str">
            <v>PJ</v>
          </cell>
          <cell r="E65" t="str">
            <v>Mínima cuantía</v>
          </cell>
          <cell r="F65" t="str">
            <v xml:space="preserve">Prestar el servicio de monitoreo de noticias en medios de comunicación y redes sociales para la Comisión de Regulación de Comunicaciones, </v>
          </cell>
          <cell r="G65">
            <v>23684570</v>
          </cell>
          <cell r="I65" t="str">
            <v>RELACIONES CON GRUPOS DE VALOR</v>
          </cell>
          <cell r="J65" t="str">
            <v>ROCIO QUINCHE</v>
          </cell>
          <cell r="O65">
            <v>46087</v>
          </cell>
          <cell r="P65">
            <v>46090</v>
          </cell>
          <cell r="Q65">
            <v>46387</v>
          </cell>
          <cell r="Z65" t="str">
            <v>N/A</v>
          </cell>
        </row>
        <row r="66">
          <cell r="A66" t="str">
            <v>CONTRATO 65 DE 2026</v>
          </cell>
          <cell r="B66" t="str">
            <v>PANTOGLOT LTDA</v>
          </cell>
          <cell r="C66" t="str">
            <v>PJ</v>
          </cell>
          <cell r="E66" t="str">
            <v>Mínima cuantía</v>
          </cell>
          <cell r="F66" t="str">
            <v>Contratación de los servicios de traducción oficial escrita del idioma inglés al español del informe “Conectividad en un entorno digital en evolución: Revisión de Colombia” y de sus componentes asociados (incluidos anexos, cuadros, figuras y demás contenidos que integren el documento), elaborado por la Organización para la Cooperación y el Desarrollo Económicos (OCDE) a solicitud de la Comisión de Regulación de Comunicaciones (CRC), garantizando fidelidad terminológica, coherencia y consistencia técnica en el texto final.</v>
          </cell>
          <cell r="G66">
            <v>20496000</v>
          </cell>
          <cell r="I66" t="str">
            <v>PROSPECTIVA ESTRATÉGICA</v>
          </cell>
          <cell r="J66" t="str">
            <v>VICTOR BALDRICH</v>
          </cell>
          <cell r="O66">
            <v>46097</v>
          </cell>
          <cell r="P66">
            <v>46098</v>
          </cell>
          <cell r="Q66">
            <v>46128</v>
          </cell>
          <cell r="Z66" t="str">
            <v>N/A</v>
          </cell>
        </row>
        <row r="67">
          <cell r="A67" t="str">
            <v>CONTRATO 66 DE 2026</v>
          </cell>
          <cell r="B67" t="str">
            <v>JVALE INGENIERIA S.A.S</v>
          </cell>
          <cell r="C67" t="str">
            <v>PJ</v>
          </cell>
          <cell r="E67" t="str">
            <v>Mínima cuantía</v>
          </cell>
          <cell r="F67" t="str">
            <v>la prestación del servicio de mantenimiento preventivo y correctivo, incluido mano de obra calificada y suministro de repuestos a todo costo originales nuevos, para la transferencia eléctrica automática de propiedad de la Comisión de Regulación de Comunicaciones., de conformidad con la Invitación Pública No. 68 de 2026 y la oferta presentada por el contratista</v>
          </cell>
          <cell r="G67">
            <v>1240000</v>
          </cell>
          <cell r="I67" t="str">
            <v>GESTIÓN ADM. Y FIN</v>
          </cell>
          <cell r="J67" t="str">
            <v>LUIS JORGE GUEVARA</v>
          </cell>
          <cell r="O67">
            <v>46105</v>
          </cell>
          <cell r="P67">
            <v>46118</v>
          </cell>
          <cell r="Q67">
            <v>46147</v>
          </cell>
          <cell r="Z67" t="str">
            <v>N/A</v>
          </cell>
        </row>
        <row r="68">
          <cell r="A68" t="str">
            <v>CONTRATO 67 DE 2026 - OC 162532</v>
          </cell>
          <cell r="B68" t="str">
            <v xml:space="preserve">COMCEL S.A </v>
          </cell>
          <cell r="C68" t="str">
            <v>PJ</v>
          </cell>
          <cell r="E68" t="str">
            <v>AMP/IAD/CGS</v>
          </cell>
          <cell r="F68" t="str">
            <v>Renovar los servicios de Microsoft Azure Suscripción CSP de la Comisión de Regulación de Comunicaciones, con el fin de garantizar recursos tecnológicos que permitan asegurar la disponibilidad y operación de la infraestructura actual; así como el aprovisionamiento de nuevos servicios de computación en la nube que demande el ejercicio misional e institucional de la Entidad.</v>
          </cell>
          <cell r="G68">
            <v>1458418665.6900001</v>
          </cell>
          <cell r="I68" t="str">
            <v>TECNOLOGÍAS Y SIST. DE INF. / GESTIÓN ADM. Y FIN.</v>
          </cell>
          <cell r="J68" t="str">
            <v>EDWIN ALBERTO VARGAS</v>
          </cell>
          <cell r="O68">
            <v>46105</v>
          </cell>
          <cell r="P68">
            <v>46106</v>
          </cell>
          <cell r="Q68">
            <v>46387</v>
          </cell>
          <cell r="Z68" t="str">
            <v>N/A</v>
          </cell>
        </row>
        <row r="69">
          <cell r="A69" t="str">
            <v>CONTRATO 68 DE 2026</v>
          </cell>
          <cell r="B69" t="str">
            <v>INELMED DE COLOMBIA S.A.S</v>
          </cell>
          <cell r="C69" t="str">
            <v>PJ</v>
          </cell>
          <cell r="E69" t="str">
            <v>Mínima cuantía</v>
          </cell>
          <cell r="F69" t="str">
            <v>prestar el servicio de inspección, pruebas y mantenimiento preventivo y correctivo, con suministro de repuestos a todo costo, para el sistema de detección de incendios ubicados en la sede de la Comisión de Regulación de Comunicaciones – CRC, de acuerdo con las especificaciones técnicas descritas en el presente proceso</v>
          </cell>
          <cell r="G69">
            <v>7587000</v>
          </cell>
          <cell r="I69" t="str">
            <v>GESTIÓN ADM. Y FIN</v>
          </cell>
          <cell r="J69" t="str">
            <v>LUIS JORGE GUEVARA</v>
          </cell>
          <cell r="O69">
            <v>46126</v>
          </cell>
          <cell r="P69">
            <v>46127</v>
          </cell>
          <cell r="Q69">
            <v>46371</v>
          </cell>
          <cell r="Z69" t="str">
            <v>N/A</v>
          </cell>
        </row>
        <row r="70">
          <cell r="A70" t="str">
            <v>CONTRATO 69 DE 2026</v>
          </cell>
          <cell r="B70" t="str">
            <v>GESTION AMBIENTAL DE COLOMBIA</v>
          </cell>
          <cell r="C70" t="str">
            <v>PJ</v>
          </cell>
          <cell r="E70" t="str">
            <v>Mínima cuantía</v>
          </cell>
          <cell r="F70" t="str">
            <v>Contratar la prestación del servicio de recolección, transporte, almacenamiento, tratamiento y/o disposición final de los residuos peligrosos incluidos RAEE, generados en la Comisión de Regulación de Comunicaciones</v>
          </cell>
          <cell r="G70">
            <v>418050</v>
          </cell>
          <cell r="I70" t="str">
            <v>GESTIÓN ADM. Y FIN</v>
          </cell>
          <cell r="J70" t="str">
            <v>LUIS JORGE GUEVARA</v>
          </cell>
          <cell r="O70">
            <v>46132</v>
          </cell>
          <cell r="P70">
            <v>46133</v>
          </cell>
          <cell r="Q70">
            <v>46371</v>
          </cell>
          <cell r="Z70" t="str">
            <v>N/A</v>
          </cell>
        </row>
        <row r="71">
          <cell r="A71" t="str">
            <v>CONTRATO 70 DE 2026</v>
          </cell>
          <cell r="B71" t="str">
            <v>S.L.A. &amp; MEDIOS SAS</v>
          </cell>
          <cell r="C71" t="str">
            <v>PJ</v>
          </cell>
          <cell r="E71" t="str">
            <v>Mínima cuantía</v>
          </cell>
          <cell r="F71" t="str">
            <v>Adquirir la impresión y suministro de veinticinco (25) carnets, para la identificación de los funcionarios de planta de la Comisión de Regulación de Comunicaciones.</v>
          </cell>
          <cell r="G71">
            <v>270000</v>
          </cell>
          <cell r="I71" t="str">
            <v>GESTIÓN ADM. Y FIN</v>
          </cell>
          <cell r="J71" t="str">
            <v>CLAUDIA PALACIO</v>
          </cell>
          <cell r="O71">
            <v>46133</v>
          </cell>
          <cell r="P71">
            <v>46142</v>
          </cell>
          <cell r="Q71">
            <v>46371</v>
          </cell>
          <cell r="Z71" t="str">
            <v>N/A</v>
          </cell>
        </row>
        <row r="72">
          <cell r="A72" t="str">
            <v>CONTRATO 71 DE 2026 -  OC 163478</v>
          </cell>
          <cell r="B72" t="str">
            <v>CONSORCIO ROYAL-SOLTELCO</v>
          </cell>
          <cell r="C72" t="str">
            <v>PJ</v>
          </cell>
          <cell r="E72" t="str">
            <v>AMP/IAD/CGS</v>
          </cell>
          <cell r="F72" t="str">
            <v>Renovar y adquirir, por un (1) añolas suscripciones de productos Microsoftrequeridas por la Comisión de Regulación deComunicaciones, bajo el esquema delicenciamiento CSP, con el fin de garantizar lacontinuidad de los servicios de colaboración,productividad, analítica de datos y seguridad quesoportan las funciones de la Entidad</v>
          </cell>
          <cell r="G72">
            <v>310475316</v>
          </cell>
          <cell r="I72" t="str">
            <v>TECNOLOGÍAS Y SIST. DE INF.</v>
          </cell>
          <cell r="J72" t="str">
            <v>EDWIN ALBERTO VARGAS</v>
          </cell>
          <cell r="O72">
            <v>46129</v>
          </cell>
          <cell r="P72">
            <v>46141</v>
          </cell>
          <cell r="Q72">
            <v>46505</v>
          </cell>
          <cell r="Z72" t="str">
            <v>N/A</v>
          </cell>
        </row>
        <row r="73">
          <cell r="A73" t="str">
            <v>CONTRATO 72 DE 2026</v>
          </cell>
          <cell r="B73" t="str">
            <v>IMAGROUP SAS</v>
          </cell>
          <cell r="C73" t="str">
            <v>PJ</v>
          </cell>
          <cell r="E73" t="str">
            <v>Licitación Pública</v>
          </cell>
          <cell r="F73" t="str">
            <v>Prestación integral de servicios como operador logístico para la planeación, organización, operación y ejecución de eventos institucionales, tanto presenciales como, híbridos y virtuales, necesarios para el cumplimiento de las funciones asignadas a la Comisión de Regulación de Comunicaciones (CRC) durante el año 2026.</v>
          </cell>
          <cell r="G73">
            <v>1200000000</v>
          </cell>
          <cell r="I73" t="str">
            <v>RELACIONES CON GRUPOS DE VALOR</v>
          </cell>
          <cell r="J73" t="str">
            <v>MARIANA SARMIENTO</v>
          </cell>
          <cell r="O73">
            <v>46148</v>
          </cell>
          <cell r="P73">
            <v>46150</v>
          </cell>
          <cell r="Q73">
            <v>46374</v>
          </cell>
          <cell r="Z73" t="str">
            <v>N/A</v>
          </cell>
        </row>
        <row r="74">
          <cell r="A74" t="str">
            <v>CONTRATO 73 DE 2026</v>
          </cell>
          <cell r="B74" t="str">
            <v>BRANDSTRAT BIC SAS</v>
          </cell>
          <cell r="C74" t="str">
            <v>PJ</v>
          </cell>
          <cell r="E74" t="str">
            <v>Concurso de méritos</v>
          </cell>
          <cell r="F74" t="str">
            <v>EL CONTRATISTA se obliga con LA COMISIÓN a prestar los servicios de consultoría especializada para el diseño metodológico, desarrollo y entrega de los estudios denominados «El rol de los servicios OTT en el sector de las comunicaciones» y «Medición de percepción de calidad de los servicios de comunicaciones», incluyendo el análisis técnico, económico y regulatorio correspondiente, así como la formulación de recomendaciones orientadas al fortalecimiento de la prospectiva sectorial, para avanzar hacia una regulación anticipatoria, capaz de adaptarse a los cambios tecnológicos y de mercado.</v>
          </cell>
          <cell r="G74">
            <v>1316887500</v>
          </cell>
          <cell r="I74" t="str">
            <v>PROSPECTIVA ESTRATÉGICA</v>
          </cell>
          <cell r="J74" t="str">
            <v>VICTOR BALDRICH</v>
          </cell>
          <cell r="O74">
            <v>46164</v>
          </cell>
          <cell r="P74">
            <v>46171</v>
          </cell>
          <cell r="Q74">
            <v>46367</v>
          </cell>
          <cell r="Z74" t="str">
            <v>N/A</v>
          </cell>
        </row>
        <row r="75">
          <cell r="A75" t="str">
            <v>CONTRATO 74 DE 2026</v>
          </cell>
          <cell r="B75" t="str">
            <v>INFORMETRICS S.A.S BIC</v>
          </cell>
          <cell r="C75" t="str">
            <v>PJ</v>
          </cell>
          <cell r="E75" t="str">
            <v>Concurso de méritos</v>
          </cell>
          <cell r="F75" t="str">
            <v>EL CONTRATISTA se obliga con LA COMISIÓN a prestar los servicios de consultoría para el diseño y la realización de ejercicios de sicología del consumidor y economía del comportamiento respecto a usuarios de los servicios de comunicaciones fijas y móviles, con el propósito de identificar sus motivaciones, percepciones y expectativas frente a diferentes aspectos relacionados con la decisión de compra, las condiciones de contratación de los servicios y la atención de los operadores por medio de los canales existentes.</v>
          </cell>
          <cell r="G75">
            <v>516514336</v>
          </cell>
          <cell r="I75" t="str">
            <v>DISEÑO REGULATORIO</v>
          </cell>
          <cell r="J75" t="str">
            <v>ALEJANDRA ARENAS</v>
          </cell>
          <cell r="O75">
            <v>46174</v>
          </cell>
          <cell r="P75">
            <v>46177</v>
          </cell>
          <cell r="Q75">
            <v>46329</v>
          </cell>
          <cell r="Z75" t="str">
            <v>N/A</v>
          </cell>
        </row>
        <row r="76">
          <cell r="A76" t="str">
            <v>CONTRATO 75 DE 2026</v>
          </cell>
          <cell r="B76" t="str">
            <v>VERDE ECOLÓGICO S.A.S.</v>
          </cell>
          <cell r="C76" t="str">
            <v>PJ</v>
          </cell>
          <cell r="E76" t="str">
            <v>Mínima cuantía</v>
          </cell>
          <cell r="F76" t="str">
            <v>Contratar el suministro de elementos de ferretería, materiales de construcción, herramientas y demás bienes de ferretería afines, que son requeridos para desarrollar las actividades de mantenimiento preventivo y correctivo locativo y de muebles de la Comisión de Regulación de Comunicaciones - CRC</v>
          </cell>
          <cell r="G76">
            <v>3536548</v>
          </cell>
          <cell r="I76" t="str">
            <v>GESTIÓN ADM. Y FIN</v>
          </cell>
          <cell r="J76" t="str">
            <v>LUIS JORGE GUEVARA</v>
          </cell>
          <cell r="O76">
            <v>46198</v>
          </cell>
          <cell r="P76">
            <v>46205</v>
          </cell>
          <cell r="Q76">
            <v>46341</v>
          </cell>
          <cell r="Z76" t="str">
            <v>N/A</v>
          </cell>
        </row>
        <row r="77">
          <cell r="A77" t="str">
            <v>CONTRATO 76 DE 2026</v>
          </cell>
          <cell r="B77" t="str">
            <v>FREDDY RODRIGUEZ</v>
          </cell>
          <cell r="C77" t="str">
            <v>PN</v>
          </cell>
          <cell r="E77" t="str">
            <v>Prestación de servicios profesionales o Apoyo a la gestión</v>
          </cell>
          <cell r="F77" t="str">
            <v>Prestar los servicios profesionales como Ingeniero Senior especializado para apoyar la CRC en la migración de contenidos y la actualización de versión de Drupal para la sede electrónica (página web) de la entidad, alineado con las políticas vigentes de gobierno digital</v>
          </cell>
          <cell r="G77">
            <v>87518688</v>
          </cell>
          <cell r="I77" t="str">
            <v>RELACIONES CON GRUPOS DE VALOR / TECNOLOGÍAS Y SIST. DE INF.</v>
          </cell>
          <cell r="J77" t="str">
            <v>WILVER DELGADO</v>
          </cell>
          <cell r="O77">
            <v>46211</v>
          </cell>
          <cell r="P77">
            <v>46213</v>
          </cell>
          <cell r="Q77">
            <v>46387</v>
          </cell>
          <cell r="Z77" t="str">
            <v>NO</v>
          </cell>
        </row>
        <row r="78">
          <cell r="A78" t="str">
            <v>CONTRATO 77 DE 2026</v>
          </cell>
          <cell r="B78" t="str">
            <v>MUNDIAL SEGUROS</v>
          </cell>
          <cell r="C78" t="str">
            <v>PJ</v>
          </cell>
          <cell r="E78" t="str">
            <v>Selección Abreviada de Menor Cuantía</v>
          </cell>
          <cell r="F78" t="str">
            <v>Contratar la póliza de Responsabilidad Civil de Datos - CYBER, de la Comisión de Regulación de Comunicaciones (CRC).</v>
          </cell>
          <cell r="G78">
            <v>187726231</v>
          </cell>
          <cell r="I78" t="str">
            <v>TECNOLOGÍAS Y SIST. DE INF. / GESTIÓN ADM. Y FIN.</v>
          </cell>
          <cell r="J78" t="str">
            <v>DIANA WILCHES / INGRID PICÓN</v>
          </cell>
          <cell r="O78">
            <v>46212</v>
          </cell>
          <cell r="P78">
            <v>46241</v>
          </cell>
          <cell r="Q78">
            <v>46875</v>
          </cell>
          <cell r="Z78" t="str">
            <v>N/A</v>
          </cell>
        </row>
        <row r="79">
          <cell r="A79" t="str">
            <v>CONTRATO 78 DE 2026 - OC 166465</v>
          </cell>
          <cell r="B79" t="str">
            <v xml:space="preserve">COMCEL S.A </v>
          </cell>
          <cell r="C79" t="str">
            <v>PJ</v>
          </cell>
          <cell r="E79" t="str">
            <v>AMP/IAD/CGS</v>
          </cell>
          <cell r="F79" t="str">
            <v>Adquirir una suscripción Microsoft Azure CSP dedicada a la gestión de respaldos (backup) y recuperación ante desastres de los activos de información institucionales desplegados en la nube de la Comisión de Regulación de Comunicaciones, bajo un modelo de Servicios Gestionados (Managed Services), incluyendo la implementación, operación, monitoreo, soporte y administración continua de las políticas de respaldo mediante Azure Backup y Recovery Services Vault</v>
          </cell>
          <cell r="G79">
            <v>189070594.40000001</v>
          </cell>
          <cell r="I79" t="str">
            <v>TECNOLOGÍAS Y SIST. DE INF.</v>
          </cell>
          <cell r="J79" t="str">
            <v>EDWIN ALBERTO VARGAS</v>
          </cell>
          <cell r="O79">
            <v>46206</v>
          </cell>
          <cell r="P79">
            <v>46206</v>
          </cell>
          <cell r="Q79">
            <v>46387</v>
          </cell>
          <cell r="Z79" t="str">
            <v>N/A</v>
          </cell>
        </row>
        <row r="80">
          <cell r="A80" t="str">
            <v>CONTRATO 79 DE 2026</v>
          </cell>
          <cell r="B80" t="str">
            <v>BRANDSTRAT BIC S.A.S</v>
          </cell>
          <cell r="C80" t="str">
            <v>PJ</v>
          </cell>
          <cell r="E80" t="str">
            <v>Concurso de méritos</v>
          </cell>
          <cell r="F80" t="str">
            <v xml:space="preserve">Prestación de servicios de consultoría para desarrollar un estudio que permita identificar, analizar y caracterizar los mecanismos de protección de niños, niñas y adolescentes (NNA) implementados en plataformas audiovisuales y servicios digitales. </v>
          </cell>
          <cell r="G80">
            <v>273424500</v>
          </cell>
          <cell r="I80" t="str">
            <v>DISEÑO REGULATORIO / IMPLEMENTACIÓN REGULATORIA</v>
          </cell>
          <cell r="J80" t="str">
            <v>VICTOR BALDRICH / RICARDO RAMÍREZ</v>
          </cell>
          <cell r="O80">
            <v>46231</v>
          </cell>
          <cell r="P80">
            <v>46238</v>
          </cell>
          <cell r="Q80">
            <v>46359</v>
          </cell>
          <cell r="Z80" t="str">
            <v>NO</v>
          </cell>
        </row>
        <row r="81">
          <cell r="A81" t="str">
            <v>CONTRATO 80 DE 2026</v>
          </cell>
          <cell r="B81" t="str">
            <v>GIGA SAS</v>
          </cell>
          <cell r="C81" t="str">
            <v>PJ</v>
          </cell>
          <cell r="E81" t="str">
            <v>Prestación de servicios profesionales o Apoyo a la gestión</v>
          </cell>
          <cell r="F81" t="str">
            <v>Renovación de los servicios de soporte, mantenimiento y actualización del sistema de Gestión Documental ONBASE por un (1) año y adquisición de bolsa de horas para la Comisión de Regulación de Comunicaciones</v>
          </cell>
          <cell r="G81">
            <v>333764531.69999999</v>
          </cell>
          <cell r="I81" t="str">
            <v>TECNOLOGÍAS Y SIST. DE INF. / GESTIÓN ADM. Y FIN.</v>
          </cell>
          <cell r="J81" t="str">
            <v>SANDRA SALAZAR / CLAUDIA UMAÑA</v>
          </cell>
          <cell r="O81">
            <v>46234</v>
          </cell>
          <cell r="P81">
            <v>46240</v>
          </cell>
          <cell r="Q81">
            <v>46600</v>
          </cell>
          <cell r="Z81" t="str">
            <v>NO</v>
          </cell>
        </row>
        <row r="82">
          <cell r="A82" t="str">
            <v>CONTRATO 81 DE 2026</v>
          </cell>
          <cell r="B82" t="str">
            <v>RAFAEL POVEDA</v>
          </cell>
          <cell r="E82" t="str">
            <v>Prestación de servicios profesionales o Apoyo a la gestión</v>
          </cell>
          <cell r="F82" t="str">
            <v>Prestación de servicios profesionales para fortalecer la comunicación institucional mediante el acompañamiento estratégico, el análisis del entorno mediático, la identificación de riesgos, la definición de una ruta narrativa, la construcción y revisión de mensajes y la preparación de vocerías para asuntos regulatorios de alta exposición pública, en el marco de la estrategia de comunicaciones institucional</v>
          </cell>
          <cell r="G82">
            <v>0</v>
          </cell>
        </row>
        <row r="83">
          <cell r="A83" t="str">
            <v>CONTRATO 82 DE 2026</v>
          </cell>
          <cell r="B83" t="str">
            <v>ALL TECHNOLOGICAL SERVICES ATS S A S</v>
          </cell>
          <cell r="C83" t="str">
            <v>PJ</v>
          </cell>
          <cell r="E83" t="str">
            <v>Mínima cuantía</v>
          </cell>
          <cell r="F83" t="str">
            <v>Contratar el servicio de Mantenimiento preventivo y correctivo con suministro de repuestos, partes y accesorios nuevos y originales no remanufacturados, a todo costo, para los equipos eléctricos y electrónicos de la Comisión de Regulación de Comunicaciones.</v>
          </cell>
          <cell r="G83">
            <v>5902257</v>
          </cell>
          <cell r="I83" t="str">
            <v>GESTIÓN ADM. Y FIN</v>
          </cell>
          <cell r="J83" t="str">
            <v>LUIS JORGE GUEVARA</v>
          </cell>
          <cell r="O83">
            <v>46231</v>
          </cell>
          <cell r="P83">
            <v>46233</v>
          </cell>
          <cell r="Q83">
            <v>46356</v>
          </cell>
          <cell r="Z83" t="str">
            <v>N/A</v>
          </cell>
        </row>
        <row r="84">
          <cell r="A84" t="str">
            <v>CONTRATO 83 DE 2026</v>
          </cell>
          <cell r="B84" t="str">
            <v>BAG SAS</v>
          </cell>
          <cell r="C84" t="str">
            <v>PJ</v>
          </cell>
          <cell r="E84" t="str">
            <v>Selección Abreviada de Menor Cuantía</v>
          </cell>
          <cell r="F84" t="str">
            <v xml:space="preserve">Renovación del licenciamiento actual del software de Gestión de Servicios de TI (ITSM) Aranda Service Desk (ASDK) y Aranda Client Management (ACM) hacia un modelo de suscripción cloud con la solución Aranda Service Management Suite (ASMS) y Device Management (ADM), incluyendo los servicios requeridos para su implementación, migración y puesta en operación para la Comisión de Regulación de Comunicaciones - CRC. </v>
          </cell>
          <cell r="G84">
            <v>90950000</v>
          </cell>
          <cell r="I84" t="str">
            <v>TECNOLOGÍAS Y SIST. DE INF.</v>
          </cell>
          <cell r="J84" t="str">
            <v>DUGLAS LIZCANO</v>
          </cell>
          <cell r="O84">
            <v>46240</v>
          </cell>
          <cell r="P84">
            <v>46252</v>
          </cell>
          <cell r="Q84">
            <v>46616</v>
          </cell>
          <cell r="Z84" t="str">
            <v>N/A</v>
          </cell>
        </row>
        <row r="85">
          <cell r="A85" t="str">
            <v>CONTRATO 84 DE 2026</v>
          </cell>
          <cell r="B85" t="str">
            <v>DIANA CIFUENTES</v>
          </cell>
          <cell r="C85" t="str">
            <v>PN</v>
          </cell>
          <cell r="E85" t="str">
            <v>Prestación de servicios profesionales o Apoyo a la gestión</v>
          </cell>
          <cell r="F85" t="str">
            <v xml:space="preserve">Prestar servicios profesionales especializados de apoyo técnico a la CRC en los componentes de diseño de experiencia de usuario (UX/UI), arquitectura de información, accesibilidad, usabilidad y desarrollo Front-end que se requieran para el fortalecimiento del ecosistema digital Aula CRC, incluyendo la estructuración, implementación y despliegue del Centro Interactivo de Recursos Pedagógicos, así como para la mejora del entorno LMS Moodle, de acuerdo con los lineamientos, requerimientos y la estrategia definidos por la Entidad, garantizando la coherencia visual y la integración orgánica entre ambos entornos. </v>
          </cell>
          <cell r="G85">
            <v>59400000</v>
          </cell>
          <cell r="I85" t="str">
            <v>PEDAGOGÍA REGULATORIA / TECNOLOGÍAS Y SIST. DE INF.</v>
          </cell>
          <cell r="J85" t="str">
            <v>WILVER DELGADO / RICARDO RAMÍREZ</v>
          </cell>
          <cell r="O85">
            <v>46239</v>
          </cell>
          <cell r="P85">
            <v>46245</v>
          </cell>
          <cell r="Q85">
            <v>46382</v>
          </cell>
          <cell r="Z85" t="str">
            <v>NO</v>
          </cell>
        </row>
        <row r="86">
          <cell r="A86" t="str">
            <v>CONTRATO 85 DE 2026</v>
          </cell>
          <cell r="B86" t="str">
            <v>JONATHAN DAVID ASÍAS PINO</v>
          </cell>
          <cell r="C86" t="str">
            <v>PN</v>
          </cell>
          <cell r="E86" t="str">
            <v>Prestación de servicios profesionales o Apoyo a la gestión</v>
          </cell>
          <cell r="F86" t="str">
            <v xml:space="preserve">Prestar servicios profesionales especializados de apoyo a la CRC en la configuración, y actualización del entorno LMS (Moodle) del ecosistema Aula CRC, así como la virtualización de nuevos contenidos y la adecuación de recursos pedagógicos interactivos de cursos tipo MOOC, de acuerdo con los requerimientos y lineamientos técnicos definidos por la Entidad. 
 </v>
          </cell>
          <cell r="G86">
            <v>27450000</v>
          </cell>
          <cell r="I86" t="str">
            <v>PEDAGOGÍA REGULATORIA</v>
          </cell>
          <cell r="J86" t="str">
            <v>RICARDO RAMÍREZ</v>
          </cell>
          <cell r="O86">
            <v>46239</v>
          </cell>
          <cell r="P86">
            <v>46245</v>
          </cell>
          <cell r="Q86">
            <v>46382</v>
          </cell>
          <cell r="Z86" t="str">
            <v>NO</v>
          </cell>
        </row>
        <row r="87">
          <cell r="A87" t="str">
            <v>CONTRATO 86 DE 2026</v>
          </cell>
          <cell r="B87" t="str">
            <v xml:space="preserve">STATISTA </v>
          </cell>
          <cell r="C87" t="str">
            <v>PJ</v>
          </cell>
          <cell r="E87" t="str">
            <v>Contratación directa</v>
          </cell>
          <cell r="F87" t="str">
            <v>Contratar la suscripción a la plataforma web de STATISTA (www.statista.com) que provee información global de indicadores y estadísticas sobre diferentes sectores de la economía. El objeto será ejecutado de acuerdo con las condiciones técnicas de acceso a la plataforma que STATISTA tiene de manera general para sus Usuarios y por tanto no se considera exclusiva para LA COMISIÓN</v>
          </cell>
          <cell r="G87">
            <v>161297800</v>
          </cell>
          <cell r="I87" t="str">
            <v>ANALÍTICA DE DATOS</v>
          </cell>
          <cell r="J87" t="str">
            <v>MIGUEL DURÁN</v>
          </cell>
          <cell r="O87">
            <v>46245</v>
          </cell>
          <cell r="P87">
            <v>46246</v>
          </cell>
          <cell r="Q87">
            <v>46610</v>
          </cell>
          <cell r="Z87" t="str">
            <v>NO</v>
          </cell>
        </row>
        <row r="88">
          <cell r="A88" t="str">
            <v>CONTRATO 87 DE 2026</v>
          </cell>
          <cell r="B88" t="str">
            <v>WEXLER</v>
          </cell>
          <cell r="C88" t="str">
            <v>PJ</v>
          </cell>
          <cell r="E88" t="str">
            <v>Selección Abreviada de Menor Cuantía</v>
          </cell>
          <cell r="F88" t="str">
            <v>la Renovación de las licencias y los servicios de soporte técnico especializado por un (1) año, que incluya el fortalecimiento, la configuración, parametrización, optimización y apoyo a la gestión de los equipos de comunicaciones y de seguridad perimetral, requeridas para garantizar la operación de la infraestructura híbrida y a los usuarios finales de la Entidad; así como el suministro e instalación de nuevos Access Point con su respectivo licenciamiento y soporte, la migración a la solución de detección y respuesta extendida (XDR) y la implementación de suscripción de seguridad SaaS para correo electrónico</v>
          </cell>
          <cell r="G88">
            <v>431121316</v>
          </cell>
          <cell r="I88" t="str">
            <v>TECNOLOGÍAS Y SIST. DE INF.</v>
          </cell>
          <cell r="J88" t="str">
            <v>EDUIN CRUZ</v>
          </cell>
          <cell r="O88">
            <v>46239</v>
          </cell>
          <cell r="P88">
            <v>46252</v>
          </cell>
          <cell r="Q88">
            <v>46661</v>
          </cell>
          <cell r="Z88" t="str">
            <v>NO</v>
          </cell>
        </row>
        <row r="89">
          <cell r="A89" t="str">
            <v>CONTRATO 88 DE 2026</v>
          </cell>
          <cell r="B89" t="str">
            <v>CENTRO CAR 19 LTDA</v>
          </cell>
          <cell r="C89" t="str">
            <v>PJ</v>
          </cell>
          <cell r="E89" t="str">
            <v>Mínima cuantía</v>
          </cell>
          <cell r="F89" t="str">
            <v>Mantenimiento preventivo y correctivo para los vehículos de la Comisión de Regulación
de Comunicaciones, incluyendo mano de obra, suministro de repuestos originales nuevos y otros
servicios</v>
          </cell>
          <cell r="G89">
            <v>9987981</v>
          </cell>
          <cell r="I89" t="str">
            <v>GESTIÓN ADM. Y FIN</v>
          </cell>
          <cell r="J89" t="str">
            <v>DIANA WILCHES</v>
          </cell>
          <cell r="O89">
            <v>46239</v>
          </cell>
          <cell r="P89">
            <v>46254</v>
          </cell>
          <cell r="Q89">
            <v>46387</v>
          </cell>
          <cell r="Z89" t="str">
            <v>N/A</v>
          </cell>
        </row>
        <row r="90">
          <cell r="A90" t="str">
            <v>CONTRATO 89 DE 2026</v>
          </cell>
          <cell r="B90" t="str">
            <v>SANDRA ALVAREZ</v>
          </cell>
          <cell r="C90" t="str">
            <v>PN</v>
          </cell>
          <cell r="F90" t="str">
            <v>Prestar servicios profesionales para apoyar la identificación y documentación de los tipos de violencias digitales y las rutas institucionales de atención, así como para el desarrollo del componente conceptual, pedagógico y de contenidos del curso virtual sobre Violencias Digitales Basadas en Género (VDBG) mediadas por Inteligencia Artificial, bajo enfoques de derechos humanos e interseccionalidad</v>
          </cell>
          <cell r="G90">
            <v>30000000</v>
          </cell>
          <cell r="I90" t="str">
            <v>PEDAGOGÍA REGULATORIA</v>
          </cell>
          <cell r="J90" t="str">
            <v>RICARDO RAMÍREZ</v>
          </cell>
          <cell r="O90">
            <v>46245</v>
          </cell>
          <cell r="P90">
            <v>46246</v>
          </cell>
          <cell r="Q90">
            <v>46338</v>
          </cell>
          <cell r="Z90" t="str">
            <v>NO</v>
          </cell>
        </row>
        <row r="91">
          <cell r="A91" t="str">
            <v>CONTRATO 90 DE 2026</v>
          </cell>
          <cell r="B91" t="str">
            <v>LH URBAN CHIC S.A.S.</v>
          </cell>
          <cell r="C91" t="str">
            <v>PJ</v>
          </cell>
          <cell r="E91" t="str">
            <v>Mínima cuantía</v>
          </cell>
          <cell r="F91" t="str">
            <v>Contratar la adquisición de bonos de dotación canjeables única y exclusivamente para la compra de vestuario y calzado para los funcionarios de la Comisión de Regulación de Comunicaciones – CRC, que tengan o adquieran el derecho en la vigencia 2026</v>
          </cell>
          <cell r="G91">
            <v>19360000</v>
          </cell>
          <cell r="I91" t="str">
            <v>GESTIÓN ADM. Y FIN</v>
          </cell>
          <cell r="J91" t="str">
            <v>LUIS JORGE GUEVARA</v>
          </cell>
          <cell r="O91">
            <v>46248</v>
          </cell>
          <cell r="P91">
            <v>46253</v>
          </cell>
          <cell r="Q91">
            <v>46371</v>
          </cell>
          <cell r="Z91" t="str">
            <v>N/A</v>
          </cell>
        </row>
        <row r="92">
          <cell r="A92" t="str">
            <v>CONTRATO 91 DE 2026</v>
          </cell>
          <cell r="B92" t="str">
            <v>MAICOL PEÑA</v>
          </cell>
          <cell r="C92" t="str">
            <v>PN</v>
          </cell>
          <cell r="E92" t="str">
            <v>Prestación de servicios profesionales o Apoyo a la gestión</v>
          </cell>
          <cell r="F92" t="str">
            <v>Prestar los servicios profesionales especializados como Analista de Requerimientos y Pruebas QA, brindando apoyo técnico en el levantamiento de requerimientos técnicos y funcionales, el diseño de casos de pruebas y el aseguramiento de la calidad de software, mediante la ejecución de pruebas funcionales y no funcionales sobre los desarrollos implementados en el Centro Interactivo de Recursos Pedagógicos y en el entorno LMS Moodle del ecosistema Aula CRC, de conformidad con los lineamientos y requerimientos definidos por la Comisión de Regulación de Comunicaciones.</v>
          </cell>
          <cell r="G92">
            <v>36000000</v>
          </cell>
          <cell r="I92" t="str">
            <v>PEDAGOGÍA REGULATORIA / TECNOLOGÍAS Y SIST. DE INF.</v>
          </cell>
          <cell r="J92" t="str">
            <v>WILVER DELGADO / RICARDO RAMÍREZ</v>
          </cell>
          <cell r="O92">
            <v>46245</v>
          </cell>
          <cell r="P92">
            <v>46246</v>
          </cell>
          <cell r="Q92">
            <v>46383</v>
          </cell>
          <cell r="Z92" t="str">
            <v>NO</v>
          </cell>
        </row>
        <row r="93">
          <cell r="A93" t="str">
            <v>CONTRATO 92 DE 2026</v>
          </cell>
          <cell r="B93" t="str">
            <v>ALL TECHNOLOGICAL SERVICES ATS S A S</v>
          </cell>
          <cell r="C93" t="str">
            <v>PJ</v>
          </cell>
          <cell r="E93" t="str">
            <v>Mínima cuantía</v>
          </cell>
          <cell r="F93" t="str">
            <v>Contratar la prestación del servicio de mantenimiento preventivo y correctivo de los equipos, Facilities e infraestructura de Tecnologías de Información y Comunicaciones utilizados por la Comisión de Regulación de Comunicaciones, incluyendo el suministro e instalación de repuestos, partes y o accesorios originales no remanufacturados que se requieran con el fin de asegurar su funcionamiento continuo y confiable.</v>
          </cell>
          <cell r="G93">
            <v>29990215</v>
          </cell>
          <cell r="I93" t="str">
            <v>TECNOLOGÍAS Y SIST. DE INF.</v>
          </cell>
          <cell r="J93" t="str">
            <v>JEISSON PULIDO</v>
          </cell>
          <cell r="O93">
            <v>46252</v>
          </cell>
          <cell r="P93">
            <v>46258</v>
          </cell>
          <cell r="Q93">
            <v>46371</v>
          </cell>
          <cell r="Z93" t="str">
            <v>NO</v>
          </cell>
        </row>
        <row r="94">
          <cell r="A94" t="str">
            <v>CONTRATO 93 DE 2026</v>
          </cell>
          <cell r="B94" t="str">
            <v>STATE SOLUTIONS SAS</v>
          </cell>
          <cell r="C94" t="str">
            <v>PJ</v>
          </cell>
          <cell r="E94" t="str">
            <v>Mínima cuantía</v>
          </cell>
          <cell r="F94" t="str">
            <v>Suministro de elementos de papelería, Cartuchos, tóner de impresión y otros artículos de oficina, para el normal funcionamiento de la Comisión de Regulación de Comunicaciones - CRC</v>
          </cell>
          <cell r="G94">
            <v>5041279</v>
          </cell>
          <cell r="I94" t="str">
            <v>GESTIÓN ADM. Y FIN</v>
          </cell>
          <cell r="J94" t="str">
            <v>DIANA WILCHES / LUIS JORGE GUEVARA</v>
          </cell>
          <cell r="O94">
            <v>46260</v>
          </cell>
          <cell r="P94">
            <v>46262</v>
          </cell>
          <cell r="Q94">
            <v>46371</v>
          </cell>
          <cell r="Z94" t="str">
            <v>N/A</v>
          </cell>
        </row>
        <row r="95">
          <cell r="A95" t="str">
            <v>CONTRATO 94 DE 2026</v>
          </cell>
          <cell r="B95" t="str">
            <v>CONSORCIO DEPIN 001-2026</v>
          </cell>
          <cell r="C95" t="str">
            <v>PJ</v>
          </cell>
          <cell r="E95" t="str">
            <v>Concurso de méritos</v>
          </cell>
          <cell r="F95" t="str">
            <v>prestar los servicios de consultoría especializada en investigación social y de mercados para realizar el estudio de caracterización de los grupos de valor de la Comisión de Regulación de Comunicaciones (CRC), mediante la aplicación de metodologías cualitativas y cuantitativas, con el fin de actualizar su identificación, analizar sus dinámicas de relacionamiento con la Entidad e identificar sus necesidades y expectativas</v>
          </cell>
          <cell r="G95">
            <v>79492000</v>
          </cell>
          <cell r="I95" t="str">
            <v>RELACIONES CON GRUPOS DE VALOR</v>
          </cell>
          <cell r="J95" t="str">
            <v>ROCIO QUINCHE</v>
          </cell>
          <cell r="O95">
            <v>46279</v>
          </cell>
          <cell r="P95">
            <v>46280</v>
          </cell>
          <cell r="Q95">
            <v>46387</v>
          </cell>
          <cell r="Z95" t="str">
            <v>N/A</v>
          </cell>
        </row>
        <row r="96">
          <cell r="A96" t="str">
            <v>CONTRATO 95 DE 2026</v>
          </cell>
          <cell r="B96" t="str">
            <v>CORPORACIÓN COLOMBIA DIGITAL</v>
          </cell>
          <cell r="C96" t="str">
            <v>PJ</v>
          </cell>
          <cell r="E96" t="str">
            <v>Contratación directa</v>
          </cell>
          <cell r="F96" t="str">
            <v>Implementar los componentes técnicos y operativos del modelo de Gobierno de Datos de la Comisión de Regulación de Comunicaciones - CRC, desarrollando la fase preparatoria, la implementación del Modelo de Gobierno de Datos y la preparación de la sub-fase Fundamentos Técnicos, con el propósito de consolidar las capacidades organizacionales, normativas y metodológicas necesarias para la operación sostenible del Gobierno de Datos institucional, dando continuidad a los productos generados en el Contrato 104 de 2025 y a la hoja de ruta institucional definida para la Entidad y en concordancia con los lineamientos del Marco de Referencia de Arquitectura Empresarial del Estado colombiano (MRAE), la Resolución 343 de 2025 y el DAMA (Data Management Association).</v>
          </cell>
          <cell r="G96">
            <v>297348156</v>
          </cell>
          <cell r="I96" t="str">
            <v>TECNOLOGÍAS Y SIST. DE INF.</v>
          </cell>
          <cell r="J96" t="str">
            <v>FABIÁN TRUJILLO</v>
          </cell>
          <cell r="P96">
            <v>46297</v>
          </cell>
          <cell r="Z96" t="str">
            <v>N/A</v>
          </cell>
        </row>
        <row r="97">
          <cell r="A97" t="str">
            <v>CONTRATO 96 DE 2026</v>
          </cell>
        </row>
        <row r="98">
          <cell r="A98" t="str">
            <v xml:space="preserve">CONTRATO 97 DE 2026 </v>
          </cell>
        </row>
        <row r="99">
          <cell r="A99" t="str">
            <v>CONTRATO 98 DE 2026</v>
          </cell>
        </row>
        <row r="100">
          <cell r="A100" t="str">
            <v>CONTRATO 99 DE 2026- OC 169894</v>
          </cell>
        </row>
        <row r="101">
          <cell r="A101" t="str">
            <v>CONTRATO 100 DE 2026 OC XXX</v>
          </cell>
        </row>
        <row r="102">
          <cell r="A102" t="str">
            <v>CONTRATO 101 DE 2026 OC 170168</v>
          </cell>
        </row>
      </sheetData>
      <sheetData sheetId="3"/>
      <sheetData sheetId="4">
        <row r="2">
          <cell r="A2">
            <v>126</v>
          </cell>
          <cell r="B2" t="str">
            <v>2026-01-06 00:00:00</v>
          </cell>
          <cell r="Q2" t="str">
            <v>1143853526</v>
          </cell>
          <cell r="R2" t="str">
            <v>VELASCO BECERRA KATHERINE LIZETH</v>
          </cell>
          <cell r="Z2" t="str">
            <v>526</v>
          </cell>
          <cell r="AG2" t="str">
            <v>RESOLUCION</v>
          </cell>
          <cell r="AH2" t="str">
            <v>510</v>
          </cell>
        </row>
        <row r="3">
          <cell r="A3">
            <v>126</v>
          </cell>
          <cell r="B3" t="str">
            <v>2026-01-06 00:00:00</v>
          </cell>
          <cell r="Q3" t="str">
            <v>1143853526</v>
          </cell>
          <cell r="R3" t="str">
            <v>VELASCO BECERRA KATHERINE LIZETH</v>
          </cell>
          <cell r="Z3" t="str">
            <v>526</v>
          </cell>
          <cell r="AG3" t="str">
            <v>RESOLUCION</v>
          </cell>
          <cell r="AH3" t="str">
            <v>510</v>
          </cell>
        </row>
        <row r="4">
          <cell r="A4">
            <v>226</v>
          </cell>
          <cell r="B4" t="str">
            <v>2026-01-08 00:00:00</v>
          </cell>
          <cell r="Q4" t="str">
            <v>900516872</v>
          </cell>
          <cell r="R4" t="str">
            <v>EDIFICIO LINK 7-60</v>
          </cell>
          <cell r="Z4" t="str">
            <v>126</v>
          </cell>
          <cell r="AG4" t="str">
            <v>FACTURA</v>
          </cell>
          <cell r="AH4" t="str">
            <v>LK7479</v>
          </cell>
        </row>
        <row r="5">
          <cell r="A5">
            <v>326</v>
          </cell>
          <cell r="B5" t="str">
            <v>2026-01-08 00:00:00</v>
          </cell>
          <cell r="Q5" t="str">
            <v>900604496</v>
          </cell>
          <cell r="R5" t="str">
            <v>GRUPO TIEDOT SAS</v>
          </cell>
          <cell r="Z5" t="str">
            <v>5726</v>
          </cell>
          <cell r="AG5" t="str">
            <v>LOA - CARTA ACEPTACION</v>
          </cell>
          <cell r="AH5" t="str">
            <v>91-2025</v>
          </cell>
        </row>
        <row r="6">
          <cell r="A6">
            <v>426</v>
          </cell>
          <cell r="B6" t="str">
            <v>2026-01-08 00:00:00</v>
          </cell>
          <cell r="Q6" t="str">
            <v>901902602</v>
          </cell>
          <cell r="R6" t="str">
            <v>CONSORCIO @ C&amp;D</v>
          </cell>
          <cell r="Z6" t="str">
            <v>5826</v>
          </cell>
          <cell r="AG6" t="str">
            <v>ORDEN DE COMPRA</v>
          </cell>
          <cell r="AH6" t="str">
            <v>154645/25</v>
          </cell>
        </row>
        <row r="7">
          <cell r="A7">
            <v>526</v>
          </cell>
          <cell r="B7" t="str">
            <v>2026-01-08 00:00:00</v>
          </cell>
          <cell r="Q7" t="str">
            <v>800219668</v>
          </cell>
          <cell r="R7" t="str">
            <v>COBRANZA NACIONAL DE CREDITOS S.A.S</v>
          </cell>
          <cell r="Z7" t="str">
            <v>5926</v>
          </cell>
          <cell r="AG7" t="str">
            <v>ORDEN DE COMPRA</v>
          </cell>
          <cell r="AH7" t="str">
            <v>154591/2025</v>
          </cell>
        </row>
        <row r="8">
          <cell r="A8">
            <v>626</v>
          </cell>
          <cell r="B8" t="str">
            <v>2026-01-08 00:00:00</v>
          </cell>
          <cell r="Q8" t="str">
            <v>900381761</v>
          </cell>
          <cell r="R8" t="str">
            <v>INGENIERIA E INFRAESTRUCTURA DE COLOMBIA S.A.S.</v>
          </cell>
          <cell r="Z8" t="str">
            <v>6026</v>
          </cell>
          <cell r="AG8" t="str">
            <v>LOA - CARTA ACEPTACION</v>
          </cell>
          <cell r="AH8" t="str">
            <v>112/2025</v>
          </cell>
        </row>
        <row r="9">
          <cell r="A9">
            <v>726</v>
          </cell>
          <cell r="B9" t="str">
            <v>2026-01-08 00:00:00</v>
          </cell>
          <cell r="Q9" t="str">
            <v>900390198</v>
          </cell>
          <cell r="R9" t="str">
            <v>WEXLER S.A.S</v>
          </cell>
          <cell r="Z9" t="str">
            <v>6126</v>
          </cell>
          <cell r="AG9" t="str">
            <v>CONTRATO DE PRESTACION DE SERVICIOS</v>
          </cell>
          <cell r="AH9" t="str">
            <v>179/2023</v>
          </cell>
        </row>
        <row r="10">
          <cell r="A10">
            <v>826</v>
          </cell>
          <cell r="B10" t="str">
            <v>2026-01-08 00:00:00</v>
          </cell>
          <cell r="Q10" t="str">
            <v>900062917</v>
          </cell>
          <cell r="R10" t="str">
            <v>SERVICIOS POSTALES NACIONALES S.A.S</v>
          </cell>
          <cell r="Z10" t="str">
            <v>6226</v>
          </cell>
          <cell r="AG10" t="str">
            <v>CONTRATO DE PRESTACION DE SERVICIOS</v>
          </cell>
          <cell r="AH10" t="str">
            <v>116/2024</v>
          </cell>
        </row>
        <row r="11">
          <cell r="A11">
            <v>926</v>
          </cell>
          <cell r="B11" t="str">
            <v>2026-01-08 00:00:00</v>
          </cell>
          <cell r="Q11" t="str">
            <v>830001113</v>
          </cell>
          <cell r="R11" t="str">
            <v>IMPRENTA NACIONAL DE COLOMBIA</v>
          </cell>
          <cell r="Z11" t="str">
            <v>6326</v>
          </cell>
          <cell r="AG11" t="str">
            <v>CONTRATO INTERADMINISTRATIVO</v>
          </cell>
          <cell r="AH11" t="str">
            <v>112/2024</v>
          </cell>
        </row>
        <row r="12">
          <cell r="A12">
            <v>1026</v>
          </cell>
          <cell r="B12" t="str">
            <v>2026-01-08 00:00:00</v>
          </cell>
          <cell r="Q12" t="str">
            <v>860063875</v>
          </cell>
          <cell r="R12" t="str">
            <v>ENEL COLOMBIA S.A E.S.P</v>
          </cell>
          <cell r="Z12" t="str">
            <v>626</v>
          </cell>
          <cell r="AG12" t="str">
            <v>OTROS</v>
          </cell>
          <cell r="AH12" t="str">
            <v>COORD. GAF</v>
          </cell>
        </row>
        <row r="13">
          <cell r="A13">
            <v>1126</v>
          </cell>
          <cell r="B13" t="str">
            <v>2026-01-08 00:00:00</v>
          </cell>
          <cell r="Q13" t="str">
            <v>800007813</v>
          </cell>
          <cell r="R13" t="str">
            <v>VANTI S.A ESP</v>
          </cell>
          <cell r="Z13" t="str">
            <v>626</v>
          </cell>
          <cell r="AG13" t="str">
            <v>OTROS</v>
          </cell>
          <cell r="AH13" t="str">
            <v>COORD. GAF</v>
          </cell>
        </row>
        <row r="14">
          <cell r="A14">
            <v>1226</v>
          </cell>
          <cell r="B14" t="str">
            <v>2026-01-08 00:00:00</v>
          </cell>
          <cell r="Q14" t="str">
            <v>830122566</v>
          </cell>
          <cell r="R14" t="str">
            <v>COLOMBIA TELECOMUNICACIONES S.A. E.S.P. BIC</v>
          </cell>
          <cell r="Z14" t="str">
            <v>626</v>
          </cell>
          <cell r="AG14" t="str">
            <v>OTROS</v>
          </cell>
          <cell r="AH14" t="str">
            <v>COORD. GAF</v>
          </cell>
        </row>
        <row r="15">
          <cell r="A15">
            <v>1326</v>
          </cell>
          <cell r="B15" t="str">
            <v>2026-01-08 00:00:00</v>
          </cell>
          <cell r="Q15" t="str">
            <v>899999115</v>
          </cell>
          <cell r="R15" t="str">
            <v>EMPRESA DE TELECOMUNICACIONES DE BOGOTA SA ESP PUDIENDO IDENTIFICARSE PARA TODOS LOS EFECTOS CON LA SIGLA ETB S.A. E.S.P.</v>
          </cell>
          <cell r="Z15" t="str">
            <v>626</v>
          </cell>
          <cell r="AG15" t="str">
            <v>OTROS</v>
          </cell>
          <cell r="AH15" t="str">
            <v>COORD. GAF</v>
          </cell>
        </row>
        <row r="16">
          <cell r="A16">
            <v>1426</v>
          </cell>
          <cell r="B16" t="str">
            <v>2026-01-08 00:00:00</v>
          </cell>
          <cell r="Q16" t="str">
            <v>899999094</v>
          </cell>
          <cell r="R16" t="str">
            <v>EMPRESA DE ACUEDUCTO Y ALCANTARILLADO DE BOGOTA - ESP</v>
          </cell>
          <cell r="Z16" t="str">
            <v>626</v>
          </cell>
          <cell r="AG16" t="str">
            <v>OTROS</v>
          </cell>
          <cell r="AH16" t="str">
            <v>COORD. GAF</v>
          </cell>
        </row>
        <row r="17">
          <cell r="A17">
            <v>1526</v>
          </cell>
          <cell r="B17" t="str">
            <v>2026-01-08 00:00:00</v>
          </cell>
          <cell r="Q17" t="str">
            <v>901145808</v>
          </cell>
          <cell r="R17" t="str">
            <v>PROMOAMBIENTAL DISTRITO S A S ESP</v>
          </cell>
          <cell r="Z17" t="str">
            <v>626</v>
          </cell>
          <cell r="AG17" t="str">
            <v>OTROS</v>
          </cell>
          <cell r="AH17" t="str">
            <v>COORD. GAF</v>
          </cell>
        </row>
        <row r="18">
          <cell r="A18">
            <v>1626</v>
          </cell>
          <cell r="B18" t="str">
            <v>2026-01-08 00:00:00</v>
          </cell>
          <cell r="Q18" t="str">
            <v>1014180931</v>
          </cell>
          <cell r="R18" t="str">
            <v>MOLINA SANTANA KAREM JULIETH</v>
          </cell>
          <cell r="Z18" t="str">
            <v>1626</v>
          </cell>
          <cell r="AG18" t="str">
            <v>CONTRATO DE PRESTACION DE SERVICIOS</v>
          </cell>
          <cell r="AH18" t="str">
            <v>09/2026</v>
          </cell>
        </row>
        <row r="19">
          <cell r="A19">
            <v>1726</v>
          </cell>
          <cell r="B19" t="str">
            <v>2026-01-08 00:00:00</v>
          </cell>
          <cell r="Q19" t="str">
            <v>52250896</v>
          </cell>
          <cell r="R19" t="str">
            <v>GONZALEZ CAROLINA</v>
          </cell>
          <cell r="Z19" t="str">
            <v>1526</v>
          </cell>
          <cell r="AG19" t="str">
            <v>CONTRATO DE PRESTACION DE SERVICIOS</v>
          </cell>
          <cell r="AH19" t="str">
            <v>10/2026</v>
          </cell>
        </row>
        <row r="20">
          <cell r="A20">
            <v>1826</v>
          </cell>
          <cell r="B20" t="str">
            <v>2026-01-09 00:00:00</v>
          </cell>
          <cell r="Q20" t="str">
            <v>0638146</v>
          </cell>
          <cell r="R20" t="str">
            <v>GSMA LTD</v>
          </cell>
          <cell r="Z20" t="str">
            <v>6526</v>
          </cell>
          <cell r="AG20" t="str">
            <v>RESOLUCION</v>
          </cell>
          <cell r="AH20" t="str">
            <v>10/2026</v>
          </cell>
        </row>
        <row r="21">
          <cell r="A21">
            <v>1926</v>
          </cell>
          <cell r="B21" t="str">
            <v>2026-01-14 00:00:00</v>
          </cell>
          <cell r="Q21" t="str">
            <v>901278666</v>
          </cell>
          <cell r="R21" t="str">
            <v>DUQUE B CONSULTORES SAS</v>
          </cell>
          <cell r="Z21" t="str">
            <v>5526</v>
          </cell>
          <cell r="AG21" t="str">
            <v>CONTRATO DE PRESTACION DE SERVICIOS - PROFESIONALES</v>
          </cell>
          <cell r="AH21" t="str">
            <v>43/2026</v>
          </cell>
        </row>
        <row r="22">
          <cell r="A22">
            <v>2026</v>
          </cell>
          <cell r="B22" t="str">
            <v>2026-01-14 00:00:00</v>
          </cell>
          <cell r="Q22" t="str">
            <v>1136883773</v>
          </cell>
          <cell r="R22" t="str">
            <v>ESPEJO SILVA ERICK FRANCKS</v>
          </cell>
          <cell r="Z22" t="str">
            <v>826</v>
          </cell>
          <cell r="AG22" t="str">
            <v>CONTRATO DE PRESTACION DE SERVICIOS - PROFESIONALES</v>
          </cell>
          <cell r="AH22" t="str">
            <v>01/2026</v>
          </cell>
        </row>
        <row r="23">
          <cell r="A23">
            <v>2126</v>
          </cell>
          <cell r="B23" t="str">
            <v>2026-01-14 00:00:00</v>
          </cell>
          <cell r="Q23" t="str">
            <v>80816060</v>
          </cell>
          <cell r="R23" t="str">
            <v>BARBOSA PARRA ERIK ANDRES</v>
          </cell>
          <cell r="Z23" t="str">
            <v>926</v>
          </cell>
          <cell r="AG23" t="str">
            <v>CONTRATO DE PRESTACION DE SERVICIOS - PROFESIONALES</v>
          </cell>
          <cell r="AH23" t="str">
            <v>02/2026</v>
          </cell>
        </row>
        <row r="24">
          <cell r="A24">
            <v>2226</v>
          </cell>
          <cell r="B24" t="str">
            <v>2026-01-14 00:00:00</v>
          </cell>
          <cell r="Q24" t="str">
            <v>1136885834</v>
          </cell>
          <cell r="R24" t="str">
            <v>OVALLE BURBANO JAVIER ENRIQUE</v>
          </cell>
          <cell r="Z24" t="str">
            <v>1326</v>
          </cell>
          <cell r="AG24" t="str">
            <v>CONTRATO DE PRESTACION DE SERVICIOS</v>
          </cell>
          <cell r="AH24" t="str">
            <v>03/2026</v>
          </cell>
        </row>
        <row r="25">
          <cell r="A25">
            <v>2326</v>
          </cell>
          <cell r="B25" t="str">
            <v>2026-01-14 00:00:00</v>
          </cell>
          <cell r="Q25" t="str">
            <v>1014182808</v>
          </cell>
          <cell r="R25" t="str">
            <v>PEÑA VERGARA JUAN CAMILO</v>
          </cell>
          <cell r="Z25" t="str">
            <v>1026</v>
          </cell>
          <cell r="AG25" t="str">
            <v>CONTRATO DE PRESTACION DE SERVICIOS - PROFESIONALES</v>
          </cell>
          <cell r="AH25" t="str">
            <v>04/2026</v>
          </cell>
        </row>
        <row r="26">
          <cell r="A26">
            <v>2426</v>
          </cell>
          <cell r="B26" t="str">
            <v>2026-01-14 00:00:00</v>
          </cell>
          <cell r="Q26" t="str">
            <v>80111868</v>
          </cell>
          <cell r="R26" t="str">
            <v>VELASCO CEPEDA JUAN MANUEL</v>
          </cell>
          <cell r="Z26" t="str">
            <v>1126</v>
          </cell>
          <cell r="AG26" t="str">
            <v>CONTRATO DE PRESTACION DE SERVICIOS - PROFESIONALES</v>
          </cell>
          <cell r="AH26" t="str">
            <v>CTO 05/2026</v>
          </cell>
        </row>
        <row r="27">
          <cell r="A27">
            <v>2526</v>
          </cell>
          <cell r="B27" t="str">
            <v>2026-01-14 00:00:00</v>
          </cell>
          <cell r="Q27" t="str">
            <v>1019074760</v>
          </cell>
          <cell r="R27" t="str">
            <v>BOHORQUEZ PERDOMO SERGIO ANDRES</v>
          </cell>
          <cell r="Z27" t="str">
            <v>1226</v>
          </cell>
          <cell r="AG27" t="str">
            <v>CONTRATO DE PRESTACION DE SERVICIOS - PROFESIONALES</v>
          </cell>
          <cell r="AH27" t="str">
            <v>06/2026</v>
          </cell>
        </row>
        <row r="28">
          <cell r="A28">
            <v>2626</v>
          </cell>
          <cell r="B28" t="str">
            <v>2026-01-14 00:00:00</v>
          </cell>
          <cell r="Q28" t="str">
            <v>1032359364</v>
          </cell>
          <cell r="R28" t="str">
            <v>ZULUAGA TORRES JULIAN DAVID</v>
          </cell>
          <cell r="Z28" t="str">
            <v>3526</v>
          </cell>
          <cell r="AG28" t="str">
            <v>CONTRATO DE PRESTACION DE SERVICIOS - PROFESIONALES</v>
          </cell>
          <cell r="AH28" t="str">
            <v>08/2026</v>
          </cell>
        </row>
        <row r="29">
          <cell r="A29">
            <v>2726</v>
          </cell>
          <cell r="B29" t="str">
            <v>2026-01-14 00:00:00</v>
          </cell>
          <cell r="Q29" t="str">
            <v>79633610</v>
          </cell>
          <cell r="R29" t="str">
            <v>SANCHEZ CASTIBLANCO JOHN RICHARD</v>
          </cell>
          <cell r="Z29" t="str">
            <v>3226</v>
          </cell>
          <cell r="AG29" t="str">
            <v>CONTRATO DE PRESTACION DE SERVICIOS - PROFESIONALES</v>
          </cell>
          <cell r="AH29" t="str">
            <v>18/2026</v>
          </cell>
        </row>
        <row r="30">
          <cell r="A30">
            <v>2826</v>
          </cell>
          <cell r="B30" t="str">
            <v>2026-01-14 00:00:00</v>
          </cell>
          <cell r="Q30" t="str">
            <v>16734378</v>
          </cell>
          <cell r="R30" t="str">
            <v>MENDOZA GARCIA JULIO CESAR</v>
          </cell>
          <cell r="Z30" t="str">
            <v>3126</v>
          </cell>
          <cell r="AG30" t="str">
            <v>CONTRATO DE PRESTACION DE SERVICIOS - PROFESIONALES</v>
          </cell>
          <cell r="AH30" t="str">
            <v>19/2026</v>
          </cell>
        </row>
        <row r="31">
          <cell r="A31">
            <v>2926</v>
          </cell>
          <cell r="B31" t="str">
            <v>2026-01-14 00:00:00</v>
          </cell>
          <cell r="Q31" t="str">
            <v>901658126</v>
          </cell>
          <cell r="R31" t="str">
            <v>ESTRATEGIAS Y ASESORÍAS REGULATORIAS SAS</v>
          </cell>
          <cell r="Z31" t="str">
            <v>4226</v>
          </cell>
          <cell r="AG31" t="str">
            <v>CONTRATO DE PRESTACION DE SERVICIOS</v>
          </cell>
          <cell r="AH31" t="str">
            <v>20/2026</v>
          </cell>
        </row>
        <row r="32">
          <cell r="A32">
            <v>3026</v>
          </cell>
          <cell r="B32" t="str">
            <v>2026-01-14 00:00:00</v>
          </cell>
          <cell r="Q32" t="str">
            <v>52003667</v>
          </cell>
          <cell r="R32" t="str">
            <v>ROBERTO BALTRA CONSULTORÍAS E.I.R.L.</v>
          </cell>
          <cell r="Z32" t="str">
            <v>4826</v>
          </cell>
          <cell r="AG32" t="str">
            <v>CONTRATO DE PRESTACION DE SERVICIOS</v>
          </cell>
          <cell r="AH32" t="str">
            <v>33/2026</v>
          </cell>
        </row>
        <row r="33">
          <cell r="A33">
            <v>3126</v>
          </cell>
          <cell r="B33" t="str">
            <v>2026-01-14 00:00:00</v>
          </cell>
          <cell r="Q33" t="str">
            <v>1033819555</v>
          </cell>
          <cell r="R33" t="str">
            <v>ROMERO SAAVEDRA LILIANA</v>
          </cell>
          <cell r="Z33" t="str">
            <v>1826</v>
          </cell>
          <cell r="AG33" t="str">
            <v>CONTRATO DE PRESTACION DE SERVICIOS</v>
          </cell>
          <cell r="AH33" t="str">
            <v>11/2026</v>
          </cell>
        </row>
        <row r="34">
          <cell r="A34">
            <v>3226</v>
          </cell>
          <cell r="B34" t="str">
            <v>2026-01-14 00:00:00</v>
          </cell>
          <cell r="Q34" t="str">
            <v>37394973</v>
          </cell>
          <cell r="R34" t="str">
            <v>TORRES SANCHEZ LADY GIOVANNA</v>
          </cell>
          <cell r="Z34" t="str">
            <v>3926</v>
          </cell>
          <cell r="AG34" t="str">
            <v>CONTRATO DE PRESTACION DE SERVICIOS - PROFESIONALES</v>
          </cell>
          <cell r="AH34" t="str">
            <v>15/2026</v>
          </cell>
        </row>
        <row r="35">
          <cell r="A35">
            <v>3326</v>
          </cell>
          <cell r="B35" t="str">
            <v>2026-01-14 00:00:00</v>
          </cell>
          <cell r="Q35" t="str">
            <v>1010024899</v>
          </cell>
          <cell r="R35" t="str">
            <v>DURAN ESPITIA DIEGO ALEJANDRO</v>
          </cell>
          <cell r="Z35" t="str">
            <v>726</v>
          </cell>
          <cell r="AG35" t="str">
            <v>CONTRATO DE PRESTACION DE SERVICIOS - PROFESIONALES</v>
          </cell>
          <cell r="AH35" t="str">
            <v>07/2026</v>
          </cell>
        </row>
        <row r="36">
          <cell r="A36">
            <v>3426</v>
          </cell>
          <cell r="B36" t="str">
            <v>2026-01-14 00:00:00</v>
          </cell>
          <cell r="Q36" t="str">
            <v>79490451</v>
          </cell>
          <cell r="R36" t="str">
            <v>VASQUEZ HENAO FABIO EDUARDO</v>
          </cell>
          <cell r="Z36" t="str">
            <v>2026</v>
          </cell>
          <cell r="AG36" t="str">
            <v>CONTRATO DE PRESTACION DE SERVICIOS - PROFESIONALES</v>
          </cell>
          <cell r="AH36" t="str">
            <v>13/2026</v>
          </cell>
        </row>
        <row r="37">
          <cell r="A37">
            <v>3526</v>
          </cell>
          <cell r="B37" t="str">
            <v>2026-01-14 00:00:00</v>
          </cell>
          <cell r="Q37" t="str">
            <v>1018410406</v>
          </cell>
          <cell r="R37" t="str">
            <v>SALAMANCA CALLE JUAN SEBASTIAN</v>
          </cell>
          <cell r="Z37" t="str">
            <v>3626</v>
          </cell>
          <cell r="AG37" t="str">
            <v>CONTRATO DE PRESTACION DE SERVICIOS - PROFESIONALES</v>
          </cell>
          <cell r="AH37" t="str">
            <v>14/2026</v>
          </cell>
        </row>
        <row r="38">
          <cell r="A38">
            <v>3626</v>
          </cell>
          <cell r="B38" t="str">
            <v>2026-01-14 00:00:00</v>
          </cell>
          <cell r="Q38" t="str">
            <v>37088350</v>
          </cell>
          <cell r="R38" t="str">
            <v>RUIZ ERASO ANA BEATRIZ</v>
          </cell>
          <cell r="Z38" t="str">
            <v>4526</v>
          </cell>
          <cell r="AG38" t="str">
            <v>CONTRATO DE PRESTACION DE SERVICIOS - PROFESIONALES</v>
          </cell>
          <cell r="AH38" t="str">
            <v>24/2026</v>
          </cell>
        </row>
        <row r="39">
          <cell r="A39">
            <v>3726</v>
          </cell>
          <cell r="B39" t="str">
            <v>2026-01-14 00:00:00</v>
          </cell>
          <cell r="Q39" t="str">
            <v>79555310</v>
          </cell>
          <cell r="R39" t="str">
            <v>URRUTIA PARRA LUIS CARLOS</v>
          </cell>
          <cell r="Z39" t="str">
            <v>4626</v>
          </cell>
          <cell r="AG39" t="str">
            <v>CONTRATO DE PRESTACION DE SERVICIOS - PROFESIONALES</v>
          </cell>
          <cell r="AH39" t="str">
            <v>32/2026</v>
          </cell>
        </row>
        <row r="40">
          <cell r="A40">
            <v>3826</v>
          </cell>
          <cell r="B40" t="str">
            <v>2026-01-14 00:00:00</v>
          </cell>
          <cell r="Q40" t="str">
            <v>1019036888</v>
          </cell>
          <cell r="R40" t="str">
            <v>TELLEZ SILVA LUISA FERNANDA</v>
          </cell>
          <cell r="Z40" t="str">
            <v>5226</v>
          </cell>
          <cell r="AG40" t="str">
            <v>CONTRATO DE PRESTACION DE SERVICIOS - PROFESIONALES</v>
          </cell>
          <cell r="AH40" t="str">
            <v>42/2026</v>
          </cell>
        </row>
        <row r="41">
          <cell r="A41">
            <v>3926</v>
          </cell>
          <cell r="B41" t="str">
            <v>2026-01-15 00:00:00</v>
          </cell>
          <cell r="Q41" t="str">
            <v>830002593</v>
          </cell>
          <cell r="R41" t="str">
            <v>COMISION DE REGULACION DE COMUNICACIONES</v>
          </cell>
          <cell r="Z41" t="str">
            <v>226</v>
          </cell>
          <cell r="AG41" t="str">
            <v>RESOLUCION</v>
          </cell>
          <cell r="AH41" t="str">
            <v>12/2026</v>
          </cell>
        </row>
        <row r="42">
          <cell r="A42">
            <v>3926</v>
          </cell>
          <cell r="B42" t="str">
            <v>2026-01-15 00:00:00</v>
          </cell>
          <cell r="Q42" t="str">
            <v>830002593</v>
          </cell>
          <cell r="R42" t="str">
            <v>COMISION DE REGULACION DE COMUNICACIONES</v>
          </cell>
          <cell r="Z42" t="str">
            <v>226</v>
          </cell>
          <cell r="AG42" t="str">
            <v>RESOLUCION</v>
          </cell>
          <cell r="AH42" t="str">
            <v>12/2026</v>
          </cell>
        </row>
        <row r="43">
          <cell r="A43">
            <v>3926</v>
          </cell>
          <cell r="B43" t="str">
            <v>2026-01-15 00:00:00</v>
          </cell>
          <cell r="Q43" t="str">
            <v>830002593</v>
          </cell>
          <cell r="R43" t="str">
            <v>COMISION DE REGULACION DE COMUNICACIONES</v>
          </cell>
          <cell r="Z43" t="str">
            <v>226</v>
          </cell>
          <cell r="AG43" t="str">
            <v>RESOLUCION</v>
          </cell>
          <cell r="AH43" t="str">
            <v>12/2026</v>
          </cell>
        </row>
        <row r="44">
          <cell r="A44">
            <v>3926</v>
          </cell>
          <cell r="B44" t="str">
            <v>2026-01-15 00:00:00</v>
          </cell>
          <cell r="Q44" t="str">
            <v>830002593</v>
          </cell>
          <cell r="R44" t="str">
            <v>COMISION DE REGULACION DE COMUNICACIONES</v>
          </cell>
          <cell r="Z44" t="str">
            <v>226</v>
          </cell>
          <cell r="AG44" t="str">
            <v>RESOLUCION</v>
          </cell>
          <cell r="AH44" t="str">
            <v>12/2026</v>
          </cell>
        </row>
        <row r="45">
          <cell r="A45">
            <v>3926</v>
          </cell>
          <cell r="B45" t="str">
            <v>2026-01-15 00:00:00</v>
          </cell>
          <cell r="Q45" t="str">
            <v>830002593</v>
          </cell>
          <cell r="R45" t="str">
            <v>COMISION DE REGULACION DE COMUNICACIONES</v>
          </cell>
          <cell r="Z45" t="str">
            <v>226</v>
          </cell>
          <cell r="AG45" t="str">
            <v>RESOLUCION</v>
          </cell>
          <cell r="AH45" t="str">
            <v>12/2026</v>
          </cell>
        </row>
        <row r="46">
          <cell r="A46">
            <v>3926</v>
          </cell>
          <cell r="B46" t="str">
            <v>2026-01-15 00:00:00</v>
          </cell>
          <cell r="Q46" t="str">
            <v>830002593</v>
          </cell>
          <cell r="R46" t="str">
            <v>COMISION DE REGULACION DE COMUNICACIONES</v>
          </cell>
          <cell r="Z46" t="str">
            <v>226</v>
          </cell>
          <cell r="AG46" t="str">
            <v>RESOLUCION</v>
          </cell>
          <cell r="AH46" t="str">
            <v>12/2026</v>
          </cell>
        </row>
        <row r="47">
          <cell r="A47">
            <v>3926</v>
          </cell>
          <cell r="B47" t="str">
            <v>2026-01-15 00:00:00</v>
          </cell>
          <cell r="Q47" t="str">
            <v>830002593</v>
          </cell>
          <cell r="R47" t="str">
            <v>COMISION DE REGULACION DE COMUNICACIONES</v>
          </cell>
          <cell r="Z47" t="str">
            <v>226</v>
          </cell>
          <cell r="AG47" t="str">
            <v>RESOLUCION</v>
          </cell>
          <cell r="AH47" t="str">
            <v>12/2026</v>
          </cell>
        </row>
        <row r="48">
          <cell r="A48">
            <v>3926</v>
          </cell>
          <cell r="B48" t="str">
            <v>2026-01-15 00:00:00</v>
          </cell>
          <cell r="Q48" t="str">
            <v>830002593</v>
          </cell>
          <cell r="R48" t="str">
            <v>COMISION DE REGULACION DE COMUNICACIONES</v>
          </cell>
          <cell r="Z48" t="str">
            <v>226</v>
          </cell>
          <cell r="AG48" t="str">
            <v>RESOLUCION</v>
          </cell>
          <cell r="AH48" t="str">
            <v>12/2026</v>
          </cell>
        </row>
        <row r="49">
          <cell r="A49">
            <v>3926</v>
          </cell>
          <cell r="B49" t="str">
            <v>2026-01-15 00:00:00</v>
          </cell>
          <cell r="Q49" t="str">
            <v>830002593</v>
          </cell>
          <cell r="R49" t="str">
            <v>COMISION DE REGULACION DE COMUNICACIONES</v>
          </cell>
          <cell r="Z49" t="str">
            <v>226</v>
          </cell>
          <cell r="AG49" t="str">
            <v>RESOLUCION</v>
          </cell>
          <cell r="AH49" t="str">
            <v>12/2026</v>
          </cell>
        </row>
        <row r="50">
          <cell r="A50">
            <v>3926</v>
          </cell>
          <cell r="B50" t="str">
            <v>2026-01-15 00:00:00</v>
          </cell>
          <cell r="Q50" t="str">
            <v>830002593</v>
          </cell>
          <cell r="R50" t="str">
            <v>COMISION DE REGULACION DE COMUNICACIONES</v>
          </cell>
          <cell r="Z50" t="str">
            <v>226</v>
          </cell>
          <cell r="AG50" t="str">
            <v>RESOLUCION</v>
          </cell>
          <cell r="AH50" t="str">
            <v>12/2026</v>
          </cell>
        </row>
        <row r="51">
          <cell r="A51">
            <v>4026</v>
          </cell>
          <cell r="B51" t="str">
            <v>2026-01-15 00:00:00</v>
          </cell>
          <cell r="Q51" t="str">
            <v>800187672</v>
          </cell>
          <cell r="R51" t="str">
            <v>SOPORTE LOGICO S.A.S</v>
          </cell>
          <cell r="Z51" t="str">
            <v>1726</v>
          </cell>
          <cell r="AG51" t="str">
            <v>CONTRATO DE PRESTACION DE SERVICIOS</v>
          </cell>
          <cell r="AH51" t="str">
            <v>16/2026</v>
          </cell>
        </row>
        <row r="52">
          <cell r="A52">
            <v>4126</v>
          </cell>
          <cell r="B52" t="str">
            <v>2026-01-15 00:00:00</v>
          </cell>
          <cell r="Q52" t="str">
            <v>1015431883</v>
          </cell>
          <cell r="R52" t="str">
            <v>SANCHEZ DURAN ESTEBAN ANDRES</v>
          </cell>
          <cell r="Z52" t="str">
            <v>6626</v>
          </cell>
          <cell r="AG52" t="str">
            <v>RESOLUCION</v>
          </cell>
          <cell r="AH52" t="str">
            <v>605/2025</v>
          </cell>
        </row>
        <row r="53">
          <cell r="A53">
            <v>4126</v>
          </cell>
          <cell r="B53" t="str">
            <v>2026-01-15 00:00:00</v>
          </cell>
          <cell r="Q53" t="str">
            <v>1015431883</v>
          </cell>
          <cell r="R53" t="str">
            <v>SANCHEZ DURAN ESTEBAN ANDRES</v>
          </cell>
          <cell r="Z53" t="str">
            <v>6626</v>
          </cell>
          <cell r="AG53" t="str">
            <v>RESOLUCION</v>
          </cell>
          <cell r="AH53" t="str">
            <v>605/2025</v>
          </cell>
        </row>
        <row r="54">
          <cell r="A54">
            <v>4226</v>
          </cell>
          <cell r="B54" t="str">
            <v>2026-01-15 00:00:00</v>
          </cell>
          <cell r="Q54" t="str">
            <v>1015431883</v>
          </cell>
          <cell r="R54" t="str">
            <v>SANCHEZ DURAN ESTEBAN ANDRES</v>
          </cell>
          <cell r="Z54" t="str">
            <v>526</v>
          </cell>
          <cell r="AG54" t="str">
            <v>SOLICITUD</v>
          </cell>
          <cell r="AH54" t="str">
            <v>COORD,GAF</v>
          </cell>
        </row>
        <row r="55">
          <cell r="A55">
            <v>4226</v>
          </cell>
          <cell r="B55" t="str">
            <v>2026-01-15 00:00:00</v>
          </cell>
          <cell r="Q55" t="str">
            <v>1015431883</v>
          </cell>
          <cell r="R55" t="str">
            <v>SANCHEZ DURAN ESTEBAN ANDRES</v>
          </cell>
          <cell r="Z55" t="str">
            <v>526</v>
          </cell>
          <cell r="AG55" t="str">
            <v>SOLICITUD</v>
          </cell>
          <cell r="AH55" t="str">
            <v>COORD,GAF</v>
          </cell>
        </row>
        <row r="56">
          <cell r="A56">
            <v>4326</v>
          </cell>
          <cell r="B56" t="str">
            <v>2026-01-15 00:00:00</v>
          </cell>
          <cell r="Q56" t="str">
            <v>1233910198</v>
          </cell>
          <cell r="R56" t="str">
            <v>LEAL MESA PEDRO JOSE</v>
          </cell>
          <cell r="Z56" t="str">
            <v>6426</v>
          </cell>
          <cell r="AG56" t="str">
            <v>CONTRATO DE PRESTACION DE SERVICIOS - PROFESIONALES</v>
          </cell>
          <cell r="AH56" t="str">
            <v>44/2026</v>
          </cell>
        </row>
        <row r="57">
          <cell r="A57">
            <v>4426</v>
          </cell>
          <cell r="B57" t="str">
            <v>2026-01-15 00:00:00</v>
          </cell>
          <cell r="Q57" t="str">
            <v>1053851255</v>
          </cell>
          <cell r="R57" t="str">
            <v>GOMEZ BUSTAMANTE NICOLAS MATEO</v>
          </cell>
          <cell r="Z57" t="str">
            <v>1926</v>
          </cell>
          <cell r="AG57" t="str">
            <v>SOLICITUD</v>
          </cell>
          <cell r="AH57" t="str">
            <v>COORD. GAF</v>
          </cell>
        </row>
        <row r="58">
          <cell r="A58">
            <v>4526</v>
          </cell>
          <cell r="B58" t="str">
            <v>2026-01-15 00:00:00</v>
          </cell>
          <cell r="Q58" t="str">
            <v>79652208</v>
          </cell>
          <cell r="R58" t="str">
            <v>MONTEALEGRE MOTTA JAIRO ORLANDO</v>
          </cell>
          <cell r="Z58" t="str">
            <v>2826</v>
          </cell>
          <cell r="AG58" t="str">
            <v>CONTRATO DE PRESTACION DE SERVICIOS - PROFESIONALES</v>
          </cell>
          <cell r="AH58" t="str">
            <v>27/2026</v>
          </cell>
        </row>
        <row r="59">
          <cell r="A59">
            <v>4626</v>
          </cell>
          <cell r="B59" t="str">
            <v>2026-01-15 00:00:00</v>
          </cell>
          <cell r="Q59" t="str">
            <v>1075229443</v>
          </cell>
          <cell r="R59" t="str">
            <v>OSORIO GIRALDO WILMER ALEJANDRO</v>
          </cell>
          <cell r="Z59" t="str">
            <v>2726</v>
          </cell>
          <cell r="AG59" t="str">
            <v>CONTRATO DE PRESTACION DE SERVICIOS - PROFESIONALES</v>
          </cell>
          <cell r="AH59" t="str">
            <v>28/2026</v>
          </cell>
        </row>
        <row r="60">
          <cell r="A60">
            <v>4726</v>
          </cell>
          <cell r="B60" t="str">
            <v>2026-01-15 00:00:00</v>
          </cell>
          <cell r="Q60" t="str">
            <v>6664398</v>
          </cell>
          <cell r="R60" t="str">
            <v>DUARTE MALDONADO OMAR ARGENIS</v>
          </cell>
          <cell r="Z60" t="str">
            <v>3026</v>
          </cell>
          <cell r="AG60" t="str">
            <v>CONTRATO DE PRESTACION DE SERVICIOS - PROFESIONALES</v>
          </cell>
          <cell r="AH60" t="str">
            <v>29/2026</v>
          </cell>
        </row>
        <row r="61">
          <cell r="A61">
            <v>4826</v>
          </cell>
          <cell r="B61" t="str">
            <v>2026-01-15 00:00:00</v>
          </cell>
          <cell r="Q61" t="str">
            <v>1023883423</v>
          </cell>
          <cell r="R61" t="str">
            <v>AYALA RODRIGUEZ JUAN NICOLAS</v>
          </cell>
          <cell r="Z61" t="str">
            <v>3326</v>
          </cell>
          <cell r="AG61" t="str">
            <v>CONTRATO DE PRESTACION DE SERVICIOS - PROFESIONALES</v>
          </cell>
          <cell r="AH61" t="str">
            <v>38/2026</v>
          </cell>
        </row>
        <row r="62">
          <cell r="A62">
            <v>4926</v>
          </cell>
          <cell r="B62" t="str">
            <v>2026-01-15 00:00:00</v>
          </cell>
          <cell r="Q62" t="str">
            <v>79444625</v>
          </cell>
          <cell r="R62" t="str">
            <v>NIÑO MARTINEZ JUAN CARLOS</v>
          </cell>
          <cell r="Z62" t="str">
            <v>4126</v>
          </cell>
          <cell r="AG62" t="str">
            <v>CONTRATO DE PRESTACION DE SERVICIOS - PROFESIONALES</v>
          </cell>
          <cell r="AH62" t="str">
            <v>36/2026</v>
          </cell>
        </row>
        <row r="63">
          <cell r="A63">
            <v>5026</v>
          </cell>
          <cell r="B63" t="str">
            <v>2026-01-15 00:00:00</v>
          </cell>
          <cell r="Q63" t="str">
            <v>71313369</v>
          </cell>
          <cell r="R63" t="str">
            <v>BOTERO OSORIO JUAN DAVID</v>
          </cell>
          <cell r="Z63" t="str">
            <v>5326</v>
          </cell>
          <cell r="AG63" t="str">
            <v>CONTRATO DE PRESTACION DE SERVICIOS - PROFESIONALES</v>
          </cell>
          <cell r="AH63" t="str">
            <v>37/2026</v>
          </cell>
        </row>
        <row r="64">
          <cell r="A64">
            <v>5126</v>
          </cell>
          <cell r="B64" t="str">
            <v>2026-01-15 00:00:00</v>
          </cell>
          <cell r="Q64" t="str">
            <v>79949417</v>
          </cell>
          <cell r="R64" t="str">
            <v>ROLDAN PEREA JUAN MANUEL</v>
          </cell>
          <cell r="Z64" t="str">
            <v>5026</v>
          </cell>
          <cell r="AG64" t="str">
            <v>CONTRATO DE PRESTACION DE SERVICIOS - PROFESIONALES</v>
          </cell>
          <cell r="AH64" t="str">
            <v>41/2026</v>
          </cell>
        </row>
        <row r="65">
          <cell r="A65">
            <v>5226</v>
          </cell>
          <cell r="B65" t="str">
            <v>2026-01-15 00:00:00</v>
          </cell>
          <cell r="Q65" t="str">
            <v>88241099</v>
          </cell>
          <cell r="R65" t="str">
            <v>RINCON CORREA JOHANN</v>
          </cell>
          <cell r="Z65" t="str">
            <v>2926</v>
          </cell>
          <cell r="AG65" t="str">
            <v>CONTRATO DE PRESTACION DE SERVICIOS - PROFESIONALES</v>
          </cell>
          <cell r="AH65" t="str">
            <v>30/2026</v>
          </cell>
        </row>
        <row r="66">
          <cell r="A66">
            <v>5326</v>
          </cell>
          <cell r="B66" t="str">
            <v>2026-01-15 00:00:00</v>
          </cell>
          <cell r="Q66" t="str">
            <v>1088306511</v>
          </cell>
          <cell r="R66" t="str">
            <v>VINASCO ZAPATA JULIANA</v>
          </cell>
          <cell r="Z66" t="str">
            <v>2626</v>
          </cell>
          <cell r="AG66" t="str">
            <v>CONTRATO DE PRESTACION DE SERVICIOS - PROFESIONALES</v>
          </cell>
          <cell r="AH66" t="str">
            <v>21/2026</v>
          </cell>
        </row>
        <row r="67">
          <cell r="A67">
            <v>5426</v>
          </cell>
          <cell r="B67" t="str">
            <v>2026-01-15 00:00:00</v>
          </cell>
          <cell r="Q67" t="str">
            <v>830041326</v>
          </cell>
          <cell r="R67" t="str">
            <v>AVANCE JURIDICO CASA EDITORIAL S.A.S</v>
          </cell>
          <cell r="Z67" t="str">
            <v>3726</v>
          </cell>
          <cell r="AG67" t="str">
            <v>CONTRATO DE PRESTACION DE SERVICIOS</v>
          </cell>
          <cell r="AH67" t="str">
            <v>34/2026</v>
          </cell>
        </row>
        <row r="68">
          <cell r="A68">
            <v>5526</v>
          </cell>
          <cell r="B68" t="str">
            <v>2026-01-15 00:00:00</v>
          </cell>
          <cell r="Q68" t="str">
            <v>80088885</v>
          </cell>
          <cell r="R68" t="str">
            <v>SANTOS RODRIGUEZ JORGE ENRIQUE</v>
          </cell>
          <cell r="Z68" t="str">
            <v>4726</v>
          </cell>
          <cell r="AG68" t="str">
            <v>CONTRATO DE PRESTACION DE SERVICIOS - PROFESIONALES</v>
          </cell>
          <cell r="AH68" t="str">
            <v>46/2026</v>
          </cell>
        </row>
        <row r="69">
          <cell r="A69">
            <v>5626</v>
          </cell>
          <cell r="B69" t="str">
            <v>2026-01-16 00:00:00</v>
          </cell>
          <cell r="Q69" t="str">
            <v>830002593</v>
          </cell>
          <cell r="R69" t="str">
            <v>COMISION DE REGULACION DE COMUNICACIONES</v>
          </cell>
          <cell r="Z69" t="str">
            <v>326</v>
          </cell>
          <cell r="AG69" t="str">
            <v>NOMINA</v>
          </cell>
          <cell r="AH69" t="str">
            <v>ENERO/2026</v>
          </cell>
        </row>
        <row r="70">
          <cell r="A70">
            <v>5626</v>
          </cell>
          <cell r="B70" t="str">
            <v>2026-01-16 00:00:00</v>
          </cell>
          <cell r="Q70" t="str">
            <v>830002593</v>
          </cell>
          <cell r="R70" t="str">
            <v>COMISION DE REGULACION DE COMUNICACIONES</v>
          </cell>
          <cell r="Z70" t="str">
            <v>326</v>
          </cell>
          <cell r="AG70" t="str">
            <v>NOMINA</v>
          </cell>
          <cell r="AH70" t="str">
            <v>ENERO/2026</v>
          </cell>
        </row>
        <row r="71">
          <cell r="A71">
            <v>5626</v>
          </cell>
          <cell r="B71" t="str">
            <v>2026-01-16 00:00:00</v>
          </cell>
          <cell r="Q71" t="str">
            <v>830002593</v>
          </cell>
          <cell r="R71" t="str">
            <v>COMISION DE REGULACION DE COMUNICACIONES</v>
          </cell>
          <cell r="Z71" t="str">
            <v>326</v>
          </cell>
          <cell r="AG71" t="str">
            <v>NOMINA</v>
          </cell>
          <cell r="AH71" t="str">
            <v>ENERO/2026</v>
          </cell>
        </row>
        <row r="72">
          <cell r="A72">
            <v>5626</v>
          </cell>
          <cell r="B72" t="str">
            <v>2026-01-16 00:00:00</v>
          </cell>
          <cell r="Q72" t="str">
            <v>830002593</v>
          </cell>
          <cell r="R72" t="str">
            <v>COMISION DE REGULACION DE COMUNICACIONES</v>
          </cell>
          <cell r="Z72" t="str">
            <v>326</v>
          </cell>
          <cell r="AG72" t="str">
            <v>NOMINA</v>
          </cell>
          <cell r="AH72" t="str">
            <v>ENERO/2026</v>
          </cell>
        </row>
        <row r="73">
          <cell r="A73">
            <v>5626</v>
          </cell>
          <cell r="B73" t="str">
            <v>2026-01-16 00:00:00</v>
          </cell>
          <cell r="Q73" t="str">
            <v>830002593</v>
          </cell>
          <cell r="R73" t="str">
            <v>COMISION DE REGULACION DE COMUNICACIONES</v>
          </cell>
          <cell r="Z73" t="str">
            <v>326</v>
          </cell>
          <cell r="AG73" t="str">
            <v>NOMINA</v>
          </cell>
          <cell r="AH73" t="str">
            <v>ENERO/2026</v>
          </cell>
        </row>
        <row r="74">
          <cell r="A74">
            <v>5626</v>
          </cell>
          <cell r="B74" t="str">
            <v>2026-01-16 00:00:00</v>
          </cell>
          <cell r="Q74" t="str">
            <v>830002593</v>
          </cell>
          <cell r="R74" t="str">
            <v>COMISION DE REGULACION DE COMUNICACIONES</v>
          </cell>
          <cell r="Z74" t="str">
            <v>326</v>
          </cell>
          <cell r="AG74" t="str">
            <v>NOMINA</v>
          </cell>
          <cell r="AH74" t="str">
            <v>ENERO/2026</v>
          </cell>
        </row>
        <row r="75">
          <cell r="A75">
            <v>5626</v>
          </cell>
          <cell r="B75" t="str">
            <v>2026-01-16 00:00:00</v>
          </cell>
          <cell r="Q75" t="str">
            <v>830002593</v>
          </cell>
          <cell r="R75" t="str">
            <v>COMISION DE REGULACION DE COMUNICACIONES</v>
          </cell>
          <cell r="Z75" t="str">
            <v>326</v>
          </cell>
          <cell r="AG75" t="str">
            <v>NOMINA</v>
          </cell>
          <cell r="AH75" t="str">
            <v>ENERO/2026</v>
          </cell>
        </row>
        <row r="76">
          <cell r="A76">
            <v>5626</v>
          </cell>
          <cell r="B76" t="str">
            <v>2026-01-16 00:00:00</v>
          </cell>
          <cell r="Q76" t="str">
            <v>830002593</v>
          </cell>
          <cell r="R76" t="str">
            <v>COMISION DE REGULACION DE COMUNICACIONES</v>
          </cell>
          <cell r="Z76" t="str">
            <v>326</v>
          </cell>
          <cell r="AG76" t="str">
            <v>NOMINA</v>
          </cell>
          <cell r="AH76" t="str">
            <v>ENERO/2026</v>
          </cell>
        </row>
        <row r="77">
          <cell r="A77">
            <v>5626</v>
          </cell>
          <cell r="B77" t="str">
            <v>2026-01-16 00:00:00</v>
          </cell>
          <cell r="Q77" t="str">
            <v>830002593</v>
          </cell>
          <cell r="R77" t="str">
            <v>COMISION DE REGULACION DE COMUNICACIONES</v>
          </cell>
          <cell r="Z77" t="str">
            <v>326</v>
          </cell>
          <cell r="AG77" t="str">
            <v>NOMINA</v>
          </cell>
          <cell r="AH77" t="str">
            <v>ENERO/2026</v>
          </cell>
        </row>
        <row r="78">
          <cell r="A78">
            <v>5626</v>
          </cell>
          <cell r="B78" t="str">
            <v>2026-01-16 00:00:00</v>
          </cell>
          <cell r="Q78" t="str">
            <v>830002593</v>
          </cell>
          <cell r="R78" t="str">
            <v>COMISION DE REGULACION DE COMUNICACIONES</v>
          </cell>
          <cell r="Z78" t="str">
            <v>326</v>
          </cell>
          <cell r="AG78" t="str">
            <v>NOMINA</v>
          </cell>
          <cell r="AH78" t="str">
            <v>ENERO/2026</v>
          </cell>
        </row>
        <row r="79">
          <cell r="A79">
            <v>5626</v>
          </cell>
          <cell r="B79" t="str">
            <v>2026-01-16 00:00:00</v>
          </cell>
          <cell r="Q79" t="str">
            <v>830002593</v>
          </cell>
          <cell r="R79" t="str">
            <v>COMISION DE REGULACION DE COMUNICACIONES</v>
          </cell>
          <cell r="Z79" t="str">
            <v>326</v>
          </cell>
          <cell r="AG79" t="str">
            <v>NOMINA</v>
          </cell>
          <cell r="AH79" t="str">
            <v>ENERO/2026</v>
          </cell>
        </row>
        <row r="80">
          <cell r="A80">
            <v>5626</v>
          </cell>
          <cell r="B80" t="str">
            <v>2026-01-16 00:00:00</v>
          </cell>
          <cell r="Q80" t="str">
            <v>830002593</v>
          </cell>
          <cell r="R80" t="str">
            <v>COMISION DE REGULACION DE COMUNICACIONES</v>
          </cell>
          <cell r="Z80" t="str">
            <v>326</v>
          </cell>
          <cell r="AG80" t="str">
            <v>NOMINA</v>
          </cell>
          <cell r="AH80" t="str">
            <v>ENERO/2026</v>
          </cell>
        </row>
        <row r="81">
          <cell r="A81">
            <v>5626</v>
          </cell>
          <cell r="B81" t="str">
            <v>2026-01-16 00:00:00</v>
          </cell>
          <cell r="Q81" t="str">
            <v>830002593</v>
          </cell>
          <cell r="R81" t="str">
            <v>COMISION DE REGULACION DE COMUNICACIONES</v>
          </cell>
          <cell r="Z81" t="str">
            <v>326</v>
          </cell>
          <cell r="AG81" t="str">
            <v>NOMINA</v>
          </cell>
          <cell r="AH81" t="str">
            <v>ENERO/2026</v>
          </cell>
        </row>
        <row r="82">
          <cell r="A82">
            <v>5626</v>
          </cell>
          <cell r="B82" t="str">
            <v>2026-01-16 00:00:00</v>
          </cell>
          <cell r="Q82" t="str">
            <v>830002593</v>
          </cell>
          <cell r="R82" t="str">
            <v>COMISION DE REGULACION DE COMUNICACIONES</v>
          </cell>
          <cell r="Z82" t="str">
            <v>326</v>
          </cell>
          <cell r="AG82" t="str">
            <v>NOMINA</v>
          </cell>
          <cell r="AH82" t="str">
            <v>ENERO/2026</v>
          </cell>
        </row>
        <row r="83">
          <cell r="A83">
            <v>5626</v>
          </cell>
          <cell r="B83" t="str">
            <v>2026-01-16 00:00:00</v>
          </cell>
          <cell r="Q83" t="str">
            <v>830002593</v>
          </cell>
          <cell r="R83" t="str">
            <v>COMISION DE REGULACION DE COMUNICACIONES</v>
          </cell>
          <cell r="Z83" t="str">
            <v>326</v>
          </cell>
          <cell r="AG83" t="str">
            <v>NOMINA</v>
          </cell>
          <cell r="AH83" t="str">
            <v>ENERO/2026</v>
          </cell>
        </row>
        <row r="84">
          <cell r="A84">
            <v>5626</v>
          </cell>
          <cell r="B84" t="str">
            <v>2026-01-16 00:00:00</v>
          </cell>
          <cell r="Q84" t="str">
            <v>830002593</v>
          </cell>
          <cell r="R84" t="str">
            <v>COMISION DE REGULACION DE COMUNICACIONES</v>
          </cell>
          <cell r="Z84" t="str">
            <v>326</v>
          </cell>
          <cell r="AG84" t="str">
            <v>NOMINA</v>
          </cell>
          <cell r="AH84" t="str">
            <v>ENERO/2026</v>
          </cell>
        </row>
        <row r="85">
          <cell r="A85">
            <v>5726</v>
          </cell>
          <cell r="B85" t="str">
            <v>2026-01-16 00:00:00</v>
          </cell>
          <cell r="Q85" t="str">
            <v>1000137216</v>
          </cell>
          <cell r="R85" t="str">
            <v>MOJICA LIZARAZO MONICA TATIANA</v>
          </cell>
          <cell r="Z85" t="str">
            <v>2326</v>
          </cell>
          <cell r="AG85" t="str">
            <v>CONTRATO DE PRESTACION DE SERVICIOS - PROFESIONALES</v>
          </cell>
          <cell r="AH85" t="str">
            <v>23/2026</v>
          </cell>
        </row>
        <row r="86">
          <cell r="A86">
            <v>5826</v>
          </cell>
          <cell r="B86" t="str">
            <v>2026-01-16 00:00:00</v>
          </cell>
          <cell r="Q86" t="str">
            <v>79782673</v>
          </cell>
          <cell r="R86" t="str">
            <v>CRUZ ALEMAN GUILLERMO ALBERTO</v>
          </cell>
          <cell r="Z86" t="str">
            <v>3826</v>
          </cell>
          <cell r="AG86" t="str">
            <v>CONTRATO DE PRESTACION DE SERVICIOS - PROFESIONALES</v>
          </cell>
          <cell r="AH86" t="str">
            <v>25/2026</v>
          </cell>
        </row>
        <row r="87">
          <cell r="A87">
            <v>5926</v>
          </cell>
          <cell r="B87" t="str">
            <v>2026-01-16 00:00:00</v>
          </cell>
          <cell r="Q87" t="str">
            <v>1022359012</v>
          </cell>
          <cell r="R87" t="str">
            <v>CUBILLOS MELLAO LUIS CARLOS</v>
          </cell>
          <cell r="Z87" t="str">
            <v>2526</v>
          </cell>
          <cell r="AG87" t="str">
            <v>CONTRATO DE PRESTACION DE SERVICIOS</v>
          </cell>
          <cell r="AH87" t="str">
            <v>17/2026</v>
          </cell>
        </row>
        <row r="88">
          <cell r="A88">
            <v>6026</v>
          </cell>
          <cell r="B88" t="str">
            <v>2026-01-16 00:00:00</v>
          </cell>
          <cell r="Q88" t="str">
            <v>75077160</v>
          </cell>
          <cell r="R88" t="str">
            <v>VALENCIA SUESCUN CAMILO ERNESTO</v>
          </cell>
          <cell r="Z88" t="str">
            <v>5126</v>
          </cell>
          <cell r="AG88" t="str">
            <v>CONTRATO DE PRESTACION DE SERVICIOS - PROFESIONALES</v>
          </cell>
          <cell r="AH88" t="str">
            <v>45/2026</v>
          </cell>
        </row>
        <row r="89">
          <cell r="A89">
            <v>6126</v>
          </cell>
          <cell r="B89" t="str">
            <v>2026-01-16 00:00:00</v>
          </cell>
          <cell r="Q89" t="str">
            <v>52708167</v>
          </cell>
          <cell r="R89" t="str">
            <v>CUBILLOS VARGAS LILIAM AMPARO</v>
          </cell>
          <cell r="Z89" t="str">
            <v>2426</v>
          </cell>
          <cell r="AG89" t="str">
            <v>CONTRATO DE PRESTACION DE SERVICIOS - PROFESIONALES</v>
          </cell>
          <cell r="AH89" t="str">
            <v>22/2026</v>
          </cell>
        </row>
        <row r="90">
          <cell r="A90">
            <v>6226</v>
          </cell>
          <cell r="B90" t="str">
            <v>2026-01-19 00:00:00</v>
          </cell>
          <cell r="Q90" t="str">
            <v>1049642322</v>
          </cell>
          <cell r="R90" t="str">
            <v>CEPEDA HERNANDE PAOLA A</v>
          </cell>
          <cell r="Z90" t="str">
            <v>326</v>
          </cell>
          <cell r="AG90" t="str">
            <v>NOMINA</v>
          </cell>
          <cell r="AH90" t="str">
            <v>ENERO/2026</v>
          </cell>
        </row>
        <row r="91">
          <cell r="A91">
            <v>6326</v>
          </cell>
          <cell r="B91" t="str">
            <v>2026-01-19 00:00:00</v>
          </cell>
          <cell r="Q91" t="str">
            <v>1095814325</v>
          </cell>
          <cell r="R91" t="str">
            <v>PABON RODRIGUEZ FIDEL ANDRES</v>
          </cell>
          <cell r="Z91" t="str">
            <v>326</v>
          </cell>
          <cell r="AG91" t="str">
            <v>NOMINA</v>
          </cell>
          <cell r="AH91" t="str">
            <v>ENERO/2026</v>
          </cell>
        </row>
        <row r="92">
          <cell r="A92">
            <v>6426</v>
          </cell>
          <cell r="B92" t="str">
            <v>2026-01-19 00:00:00</v>
          </cell>
          <cell r="Q92" t="str">
            <v>1019152007</v>
          </cell>
          <cell r="R92" t="str">
            <v>PACHECO PEREZ NICHOLL DANIELA</v>
          </cell>
          <cell r="Z92" t="str">
            <v>326</v>
          </cell>
          <cell r="AG92" t="str">
            <v>NOMINA</v>
          </cell>
          <cell r="AH92" t="str">
            <v>ENERO/2026</v>
          </cell>
        </row>
        <row r="93">
          <cell r="A93">
            <v>6526</v>
          </cell>
          <cell r="B93" t="str">
            <v>2026-01-19 00:00:00</v>
          </cell>
          <cell r="Q93" t="str">
            <v>46675942</v>
          </cell>
          <cell r="R93" t="str">
            <v>UMAÑA RAMIREZ CLAUDIA PATIRICIA</v>
          </cell>
          <cell r="Z93" t="str">
            <v>326</v>
          </cell>
          <cell r="AG93" t="str">
            <v>NOMINA</v>
          </cell>
          <cell r="AH93" t="str">
            <v>ENERO/2026</v>
          </cell>
        </row>
        <row r="94">
          <cell r="A94">
            <v>6626</v>
          </cell>
          <cell r="B94" t="str">
            <v>2026-01-19 00:00:00</v>
          </cell>
          <cell r="Q94" t="str">
            <v>1016064963</v>
          </cell>
          <cell r="R94" t="str">
            <v>DIAZ LATORRE DARLY ZULEY</v>
          </cell>
          <cell r="Z94" t="str">
            <v>7026</v>
          </cell>
          <cell r="AG94" t="str">
            <v>CONTRATO DE PRESTACION DE SERVICIOS</v>
          </cell>
          <cell r="AH94" t="str">
            <v>48/2026</v>
          </cell>
        </row>
        <row r="95">
          <cell r="A95">
            <v>6726</v>
          </cell>
          <cell r="B95" t="str">
            <v>2026-01-19 00:00:00</v>
          </cell>
          <cell r="Q95" t="str">
            <v>1032499959</v>
          </cell>
          <cell r="R95" t="str">
            <v>CLAVIJO DUEÑAS DANIEL FEDERICO</v>
          </cell>
          <cell r="Z95" t="str">
            <v>6826</v>
          </cell>
          <cell r="AG95" t="str">
            <v>CONTRATO DE PRESTACION DE SERVICIOS</v>
          </cell>
          <cell r="AH95" t="str">
            <v>49/2026</v>
          </cell>
        </row>
        <row r="96">
          <cell r="A96">
            <v>6826</v>
          </cell>
          <cell r="B96" t="str">
            <v>2026-01-20 00:00:00</v>
          </cell>
          <cell r="Q96" t="str">
            <v>900247322</v>
          </cell>
          <cell r="R96" t="str">
            <v>TACHYON CONSULTORES S.A.S</v>
          </cell>
          <cell r="Z96" t="str">
            <v>4326</v>
          </cell>
          <cell r="AG96" t="str">
            <v>CONTRATO DE PRESTACION DE SERVICIOS</v>
          </cell>
          <cell r="AH96" t="str">
            <v>26/2026</v>
          </cell>
        </row>
        <row r="97">
          <cell r="A97">
            <v>6926</v>
          </cell>
          <cell r="B97" t="str">
            <v>2026-01-20 00:00:00</v>
          </cell>
          <cell r="Q97" t="str">
            <v>1127345238</v>
          </cell>
          <cell r="R97" t="str">
            <v>VILORIA SUAREZ BELLANY SARAY</v>
          </cell>
          <cell r="Z97" t="str">
            <v>526</v>
          </cell>
          <cell r="AG97" t="str">
            <v>RESOLUCION</v>
          </cell>
          <cell r="AH97" t="str">
            <v>38/2026</v>
          </cell>
        </row>
        <row r="98">
          <cell r="A98">
            <v>6926</v>
          </cell>
          <cell r="B98" t="str">
            <v>2026-01-20 00:00:00</v>
          </cell>
          <cell r="Q98" t="str">
            <v>1127345238</v>
          </cell>
          <cell r="R98" t="str">
            <v>VILORIA SUAREZ BELLANY SARAY</v>
          </cell>
          <cell r="Z98" t="str">
            <v>526</v>
          </cell>
          <cell r="AG98" t="str">
            <v>RESOLUCION</v>
          </cell>
          <cell r="AH98" t="str">
            <v>38/2026</v>
          </cell>
        </row>
        <row r="99">
          <cell r="A99">
            <v>7026</v>
          </cell>
          <cell r="B99" t="str">
            <v>2026-01-20 00:00:00</v>
          </cell>
          <cell r="Q99" t="str">
            <v>1018431477</v>
          </cell>
          <cell r="R99" t="str">
            <v>SANTISTEBAN GALAN ADRIANA CAROLINA</v>
          </cell>
          <cell r="Z99" t="str">
            <v>7226</v>
          </cell>
          <cell r="AG99" t="str">
            <v>CONTRATO DE PRESTACION DE SERVICIOS - PROFESIONALES</v>
          </cell>
          <cell r="AH99" t="str">
            <v>54/2026</v>
          </cell>
        </row>
        <row r="100">
          <cell r="A100">
            <v>7126</v>
          </cell>
          <cell r="B100" t="str">
            <v>2026-01-21 00:00:00</v>
          </cell>
          <cell r="Q100" t="str">
            <v>1030570790</v>
          </cell>
          <cell r="R100" t="str">
            <v>GARZON RUIZ HANSON JAVIER</v>
          </cell>
          <cell r="Z100" t="str">
            <v>7426</v>
          </cell>
          <cell r="AG100" t="str">
            <v>CONTRATO DE PRESTACION DE SERVICIOS - PROFESIONALES</v>
          </cell>
          <cell r="AH100" t="str">
            <v>53/2026</v>
          </cell>
        </row>
        <row r="101">
          <cell r="A101">
            <v>7226</v>
          </cell>
          <cell r="B101" t="str">
            <v>2026-01-21 00:00:00</v>
          </cell>
          <cell r="Q101" t="str">
            <v>1088038389</v>
          </cell>
          <cell r="R101" t="str">
            <v>CORREA LESMES MARCELLO</v>
          </cell>
          <cell r="Z101" t="str">
            <v>7126</v>
          </cell>
          <cell r="AG101" t="str">
            <v>CONTRATO DE PRESTACION DE SERVICIOS</v>
          </cell>
          <cell r="AH101" t="str">
            <v>47/2026</v>
          </cell>
        </row>
        <row r="102">
          <cell r="A102">
            <v>7326</v>
          </cell>
          <cell r="B102" t="str">
            <v>2026-01-21 00:00:00</v>
          </cell>
          <cell r="Q102" t="str">
            <v>0429199165</v>
          </cell>
          <cell r="R102" t="str">
            <v>CULLEN INTERNATIONAL SA</v>
          </cell>
          <cell r="Z102" t="str">
            <v>4426</v>
          </cell>
          <cell r="AG102" t="str">
            <v>CONTRATO DE PRESTACION DE SERVICIOS</v>
          </cell>
          <cell r="AH102" t="str">
            <v>31/2026</v>
          </cell>
        </row>
        <row r="103">
          <cell r="A103">
            <v>7426</v>
          </cell>
          <cell r="B103" t="str">
            <v>2026-01-21 00:00:00</v>
          </cell>
          <cell r="Q103" t="str">
            <v>16763217</v>
          </cell>
          <cell r="R103" t="str">
            <v>RIASCOS VILLEGAS ALVARO JOSE</v>
          </cell>
          <cell r="Z103" t="str">
            <v>4026</v>
          </cell>
          <cell r="AG103" t="str">
            <v>CONTRATO DE PRESTACION DE SERVICIOS - PROFESIONALES</v>
          </cell>
          <cell r="AH103" t="str">
            <v>35/2026</v>
          </cell>
        </row>
        <row r="104">
          <cell r="A104">
            <v>7526</v>
          </cell>
          <cell r="B104" t="str">
            <v>2026-01-21 00:00:00</v>
          </cell>
          <cell r="Q104" t="str">
            <v>800174162</v>
          </cell>
          <cell r="R104" t="str">
            <v>KANTAR IBOPE MEDIA COLOMBIA S.A.S</v>
          </cell>
          <cell r="Z104" t="str">
            <v>5426</v>
          </cell>
          <cell r="AG104" t="str">
            <v>CONTRATO DE PRESTACION DE SERVICIOS</v>
          </cell>
          <cell r="AH104" t="str">
            <v>40/2026</v>
          </cell>
        </row>
        <row r="105">
          <cell r="A105">
            <v>7626</v>
          </cell>
          <cell r="B105" t="str">
            <v>2026-01-21 00:00:00</v>
          </cell>
          <cell r="Q105" t="str">
            <v>39693109</v>
          </cell>
          <cell r="R105" t="str">
            <v>BOTERO MARINO CATALINA</v>
          </cell>
          <cell r="Z105" t="str">
            <v>7326</v>
          </cell>
          <cell r="AG105" t="str">
            <v>CONTRATO DE PRESTACION DE SERVICIOS - PROFESIONALES</v>
          </cell>
          <cell r="AH105" t="str">
            <v>52/2026</v>
          </cell>
        </row>
        <row r="106">
          <cell r="A106">
            <v>7726</v>
          </cell>
          <cell r="B106" t="str">
            <v>2026-01-21 00:00:00</v>
          </cell>
          <cell r="Q106" t="str">
            <v>52902964</v>
          </cell>
          <cell r="R106" t="str">
            <v>CLAVIJO LUENGAS VICTORIA CONSUELO</v>
          </cell>
          <cell r="Z106" t="str">
            <v>6726</v>
          </cell>
          <cell r="AG106" t="str">
            <v>CONTRATO DE PRESTACION DE SERVICIOS - PROFESIONALES</v>
          </cell>
          <cell r="AH106" t="str">
            <v>51/2026</v>
          </cell>
        </row>
        <row r="107">
          <cell r="A107">
            <v>7826</v>
          </cell>
          <cell r="B107" t="str">
            <v>2026-01-21 00:00:00</v>
          </cell>
          <cell r="Q107" t="str">
            <v>88249423</v>
          </cell>
          <cell r="R107" t="str">
            <v>ARIAS VERA FABIO HERNANDO</v>
          </cell>
          <cell r="Z107" t="str">
            <v>6926</v>
          </cell>
          <cell r="AG107" t="str">
            <v>CONTRATO DE PRESTACION DE SERVICIOS - PROFESIONALES</v>
          </cell>
          <cell r="AH107" t="str">
            <v>50/2026</v>
          </cell>
        </row>
        <row r="108">
          <cell r="A108">
            <v>7926</v>
          </cell>
          <cell r="B108" t="str">
            <v>2026-01-26 00:00:00</v>
          </cell>
          <cell r="Q108" t="str">
            <v>860066942</v>
          </cell>
          <cell r="R108" t="str">
            <v>CAJA DE COMPENSACION FAMILIAR COMPENSAR</v>
          </cell>
          <cell r="Z108" t="str">
            <v>1426</v>
          </cell>
          <cell r="AG108" t="str">
            <v>CONTRATO DE PRESTACION DE SERVICIOS</v>
          </cell>
          <cell r="AH108" t="str">
            <v>39/2026</v>
          </cell>
        </row>
        <row r="109">
          <cell r="A109">
            <v>8026</v>
          </cell>
          <cell r="B109" t="str">
            <v>2026-01-26 00:00:00</v>
          </cell>
          <cell r="Q109" t="str">
            <v>860002503</v>
          </cell>
          <cell r="R109" t="str">
            <v>COMPAÑIA DE SEGUROS BOLIVAR S A TAMBIEN PODRA GIRAR BAJO LA DENOMINACION SEGUROS BOLIVAR S A</v>
          </cell>
          <cell r="Z109" t="str">
            <v>7526</v>
          </cell>
          <cell r="AG109" t="str">
            <v>PLANILLA SEGURIDAD SOCIAL</v>
          </cell>
          <cell r="AH109" t="str">
            <v>83218418</v>
          </cell>
        </row>
        <row r="110">
          <cell r="A110">
            <v>8126</v>
          </cell>
          <cell r="B110" t="str">
            <v>2026-01-28 00:00:00</v>
          </cell>
          <cell r="Q110" t="str">
            <v>1010234849</v>
          </cell>
          <cell r="R110" t="str">
            <v>GALEANO HERMOSA JUAN JOSE</v>
          </cell>
          <cell r="Z110" t="str">
            <v>7626</v>
          </cell>
          <cell r="AG110" t="str">
            <v>CONTRATO DE PRESTACION DE SERVICIOS - PROFESIONALES</v>
          </cell>
          <cell r="AH110" t="str">
            <v>55/2026</v>
          </cell>
        </row>
        <row r="111">
          <cell r="A111">
            <v>8226</v>
          </cell>
          <cell r="B111" t="str">
            <v>2026-01-28 00:00:00</v>
          </cell>
          <cell r="Q111" t="str">
            <v>899999284</v>
          </cell>
          <cell r="R111" t="str">
            <v>FONDO NACIONAL DEL AHORRO S.A.</v>
          </cell>
          <cell r="Z111" t="str">
            <v>426</v>
          </cell>
          <cell r="AG111" t="str">
            <v>NOMINA</v>
          </cell>
          <cell r="AH111" t="str">
            <v>ENERO/2026</v>
          </cell>
        </row>
        <row r="112">
          <cell r="A112">
            <v>8326</v>
          </cell>
          <cell r="B112" t="str">
            <v>2026-01-28 00:00:00</v>
          </cell>
          <cell r="Q112" t="str">
            <v>830002593</v>
          </cell>
          <cell r="R112" t="str">
            <v>COMISION DE REGULACION DE COMUNICACIONES</v>
          </cell>
          <cell r="Z112" t="str">
            <v>426</v>
          </cell>
          <cell r="AG112" t="str">
            <v>NOMINA</v>
          </cell>
          <cell r="AH112" t="str">
            <v>ENERO 2026</v>
          </cell>
        </row>
        <row r="113">
          <cell r="A113">
            <v>8326</v>
          </cell>
          <cell r="B113" t="str">
            <v>2026-01-28 00:00:00</v>
          </cell>
          <cell r="Q113" t="str">
            <v>830002593</v>
          </cell>
          <cell r="R113" t="str">
            <v>COMISION DE REGULACION DE COMUNICACIONES</v>
          </cell>
          <cell r="Z113" t="str">
            <v>426</v>
          </cell>
          <cell r="AG113" t="str">
            <v>NOMINA</v>
          </cell>
          <cell r="AH113" t="str">
            <v>ENERO 2026</v>
          </cell>
        </row>
        <row r="114">
          <cell r="A114">
            <v>8326</v>
          </cell>
          <cell r="B114" t="str">
            <v>2026-01-28 00:00:00</v>
          </cell>
          <cell r="Q114" t="str">
            <v>830002593</v>
          </cell>
          <cell r="R114" t="str">
            <v>COMISION DE REGULACION DE COMUNICACIONES</v>
          </cell>
          <cell r="Z114" t="str">
            <v>426</v>
          </cell>
          <cell r="AG114" t="str">
            <v>NOMINA</v>
          </cell>
          <cell r="AH114" t="str">
            <v>ENERO 2026</v>
          </cell>
        </row>
        <row r="115">
          <cell r="A115">
            <v>8326</v>
          </cell>
          <cell r="B115" t="str">
            <v>2026-01-28 00:00:00</v>
          </cell>
          <cell r="Q115" t="str">
            <v>830002593</v>
          </cell>
          <cell r="R115" t="str">
            <v>COMISION DE REGULACION DE COMUNICACIONES</v>
          </cell>
          <cell r="Z115" t="str">
            <v>426</v>
          </cell>
          <cell r="AG115" t="str">
            <v>NOMINA</v>
          </cell>
          <cell r="AH115" t="str">
            <v>ENERO 2026</v>
          </cell>
        </row>
        <row r="116">
          <cell r="A116">
            <v>8326</v>
          </cell>
          <cell r="B116" t="str">
            <v>2026-01-28 00:00:00</v>
          </cell>
          <cell r="Q116" t="str">
            <v>830002593</v>
          </cell>
          <cell r="R116" t="str">
            <v>COMISION DE REGULACION DE COMUNICACIONES</v>
          </cell>
          <cell r="Z116" t="str">
            <v>426</v>
          </cell>
          <cell r="AG116" t="str">
            <v>NOMINA</v>
          </cell>
          <cell r="AH116" t="str">
            <v>ENERO 2026</v>
          </cell>
        </row>
        <row r="117">
          <cell r="A117">
            <v>8326</v>
          </cell>
          <cell r="B117" t="str">
            <v>2026-01-28 00:00:00</v>
          </cell>
          <cell r="Q117" t="str">
            <v>830002593</v>
          </cell>
          <cell r="R117" t="str">
            <v>COMISION DE REGULACION DE COMUNICACIONES</v>
          </cell>
          <cell r="Z117" t="str">
            <v>426</v>
          </cell>
          <cell r="AG117" t="str">
            <v>NOMINA</v>
          </cell>
          <cell r="AH117" t="str">
            <v>ENERO 2026</v>
          </cell>
        </row>
        <row r="118">
          <cell r="A118">
            <v>8426</v>
          </cell>
          <cell r="B118" t="str">
            <v>2026-01-28 00:00:00</v>
          </cell>
          <cell r="Q118" t="str">
            <v>800197268</v>
          </cell>
          <cell r="R118" t="str">
            <v>U.A.E. DIRECCION DE IMPUESTOS Y ADUANAS NACIONALES</v>
          </cell>
          <cell r="Z118" t="str">
            <v>7826</v>
          </cell>
          <cell r="AG118" t="str">
            <v>SOLICITUD</v>
          </cell>
          <cell r="AH118" t="str">
            <v>TESORERIA CRC</v>
          </cell>
        </row>
        <row r="119">
          <cell r="A119">
            <v>8426</v>
          </cell>
          <cell r="B119" t="str">
            <v>2026-01-28 00:00:00</v>
          </cell>
          <cell r="Q119" t="str">
            <v>800197268</v>
          </cell>
          <cell r="R119" t="str">
            <v>U.A.E. DIRECCION DE IMPUESTOS Y ADUANAS NACIONALES</v>
          </cell>
          <cell r="Z119" t="str">
            <v>7826</v>
          </cell>
          <cell r="AG119" t="str">
            <v>SOLICITUD</v>
          </cell>
          <cell r="AH119" t="str">
            <v>TESORERIA CRC</v>
          </cell>
        </row>
        <row r="120">
          <cell r="A120">
            <v>8426</v>
          </cell>
          <cell r="B120" t="str">
            <v>2026-01-28 00:00:00</v>
          </cell>
          <cell r="Q120" t="str">
            <v>800197268</v>
          </cell>
          <cell r="R120" t="str">
            <v>U.A.E. DIRECCION DE IMPUESTOS Y ADUANAS NACIONALES</v>
          </cell>
          <cell r="Z120" t="str">
            <v>7826</v>
          </cell>
          <cell r="AG120" t="str">
            <v>SOLICITUD</v>
          </cell>
          <cell r="AH120" t="str">
            <v>TESORERIA CRC</v>
          </cell>
        </row>
        <row r="121">
          <cell r="A121">
            <v>8426</v>
          </cell>
          <cell r="B121" t="str">
            <v>2026-01-28 00:00:00</v>
          </cell>
          <cell r="Q121" t="str">
            <v>800197268</v>
          </cell>
          <cell r="R121" t="str">
            <v>U.A.E. DIRECCION DE IMPUESTOS Y ADUANAS NACIONALES</v>
          </cell>
          <cell r="Z121" t="str">
            <v>7826</v>
          </cell>
          <cell r="AG121" t="str">
            <v>SOLICITUD</v>
          </cell>
          <cell r="AH121" t="str">
            <v>TESORERIA CRC</v>
          </cell>
        </row>
        <row r="122">
          <cell r="A122">
            <v>8426</v>
          </cell>
          <cell r="B122" t="str">
            <v>2026-01-28 00:00:00</v>
          </cell>
          <cell r="Q122" t="str">
            <v>800197268</v>
          </cell>
          <cell r="R122" t="str">
            <v>U.A.E. DIRECCION DE IMPUESTOS Y ADUANAS NACIONALES</v>
          </cell>
          <cell r="Z122" t="str">
            <v>7826</v>
          </cell>
          <cell r="AG122" t="str">
            <v>SOLICITUD</v>
          </cell>
          <cell r="AH122" t="str">
            <v>TESORERIA CRC</v>
          </cell>
        </row>
        <row r="123">
          <cell r="A123">
            <v>8426</v>
          </cell>
          <cell r="B123" t="str">
            <v>2026-01-28 00:00:00</v>
          </cell>
          <cell r="Q123" t="str">
            <v>800197268</v>
          </cell>
          <cell r="R123" t="str">
            <v>U.A.E. DIRECCION DE IMPUESTOS Y ADUANAS NACIONALES</v>
          </cell>
          <cell r="Z123" t="str">
            <v>7826</v>
          </cell>
          <cell r="AG123" t="str">
            <v>SOLICITUD</v>
          </cell>
          <cell r="AH123" t="str">
            <v>TESORERIA CRC</v>
          </cell>
        </row>
        <row r="124">
          <cell r="A124">
            <v>8426</v>
          </cell>
          <cell r="B124" t="str">
            <v>2026-01-28 00:00:00</v>
          </cell>
          <cell r="Q124" t="str">
            <v>800197268</v>
          </cell>
          <cell r="R124" t="str">
            <v>U.A.E. DIRECCION DE IMPUESTOS Y ADUANAS NACIONALES</v>
          </cell>
          <cell r="Z124" t="str">
            <v>7826</v>
          </cell>
          <cell r="AG124" t="str">
            <v>SOLICITUD</v>
          </cell>
          <cell r="AH124" t="str">
            <v>TESORERIA CRC</v>
          </cell>
        </row>
        <row r="125">
          <cell r="A125">
            <v>8426</v>
          </cell>
          <cell r="B125" t="str">
            <v>2026-01-28 00:00:00</v>
          </cell>
          <cell r="Q125" t="str">
            <v>800197268</v>
          </cell>
          <cell r="R125" t="str">
            <v>U.A.E. DIRECCION DE IMPUESTOS Y ADUANAS NACIONALES</v>
          </cell>
          <cell r="Z125" t="str">
            <v>7826</v>
          </cell>
          <cell r="AG125" t="str">
            <v>SOLICITUD</v>
          </cell>
          <cell r="AH125" t="str">
            <v>TESORERIA CRC</v>
          </cell>
        </row>
        <row r="126">
          <cell r="A126">
            <v>8426</v>
          </cell>
          <cell r="B126" t="str">
            <v>2026-01-28 00:00:00</v>
          </cell>
          <cell r="Q126" t="str">
            <v>800197268</v>
          </cell>
          <cell r="R126" t="str">
            <v>U.A.E. DIRECCION DE IMPUESTOS Y ADUANAS NACIONALES</v>
          </cell>
          <cell r="Z126" t="str">
            <v>7826</v>
          </cell>
          <cell r="AG126" t="str">
            <v>SOLICITUD</v>
          </cell>
          <cell r="AH126" t="str">
            <v>TESORERIA CRC</v>
          </cell>
        </row>
        <row r="127">
          <cell r="A127">
            <v>8426</v>
          </cell>
          <cell r="B127" t="str">
            <v>2026-01-28 00:00:00</v>
          </cell>
          <cell r="Q127" t="str">
            <v>800197268</v>
          </cell>
          <cell r="R127" t="str">
            <v>U.A.E. DIRECCION DE IMPUESTOS Y ADUANAS NACIONALES</v>
          </cell>
          <cell r="Z127" t="str">
            <v>7826</v>
          </cell>
          <cell r="AG127" t="str">
            <v>SOLICITUD</v>
          </cell>
          <cell r="AH127" t="str">
            <v>TESORERIA CRC</v>
          </cell>
        </row>
        <row r="128">
          <cell r="A128">
            <v>8426</v>
          </cell>
          <cell r="B128" t="str">
            <v>2026-01-28 00:00:00</v>
          </cell>
          <cell r="Q128" t="str">
            <v>800197268</v>
          </cell>
          <cell r="R128" t="str">
            <v>U.A.E. DIRECCION DE IMPUESTOS Y ADUANAS NACIONALES</v>
          </cell>
          <cell r="Z128" t="str">
            <v>7826</v>
          </cell>
          <cell r="AG128" t="str">
            <v>SOLICITUD</v>
          </cell>
          <cell r="AH128" t="str">
            <v>TESORERIA CRC</v>
          </cell>
        </row>
        <row r="129">
          <cell r="A129">
            <v>8426</v>
          </cell>
          <cell r="B129" t="str">
            <v>2026-01-28 00:00:00</v>
          </cell>
          <cell r="Q129" t="str">
            <v>800197268</v>
          </cell>
          <cell r="R129" t="str">
            <v>U.A.E. DIRECCION DE IMPUESTOS Y ADUANAS NACIONALES</v>
          </cell>
          <cell r="Z129" t="str">
            <v>7826</v>
          </cell>
          <cell r="AG129" t="str">
            <v>SOLICITUD</v>
          </cell>
          <cell r="AH129" t="str">
            <v>TESORERIA CRC</v>
          </cell>
        </row>
        <row r="130">
          <cell r="A130">
            <v>8426</v>
          </cell>
          <cell r="B130" t="str">
            <v>2026-01-28 00:00:00</v>
          </cell>
          <cell r="Q130" t="str">
            <v>800197268</v>
          </cell>
          <cell r="R130" t="str">
            <v>U.A.E. DIRECCION DE IMPUESTOS Y ADUANAS NACIONALES</v>
          </cell>
          <cell r="Z130" t="str">
            <v>7826</v>
          </cell>
          <cell r="AG130" t="str">
            <v>SOLICITUD</v>
          </cell>
          <cell r="AH130" t="str">
            <v>TESORERIA CRC</v>
          </cell>
        </row>
        <row r="131">
          <cell r="A131">
            <v>8426</v>
          </cell>
          <cell r="B131" t="str">
            <v>2026-01-28 00:00:00</v>
          </cell>
          <cell r="Q131" t="str">
            <v>800197268</v>
          </cell>
          <cell r="R131" t="str">
            <v>U.A.E. DIRECCION DE IMPUESTOS Y ADUANAS NACIONALES</v>
          </cell>
          <cell r="Z131" t="str">
            <v>7826</v>
          </cell>
          <cell r="AG131" t="str">
            <v>SOLICITUD</v>
          </cell>
          <cell r="AH131" t="str">
            <v>TESORERIA CRC</v>
          </cell>
        </row>
        <row r="132">
          <cell r="A132">
            <v>8426</v>
          </cell>
          <cell r="B132" t="str">
            <v>2026-01-28 00:00:00</v>
          </cell>
          <cell r="Q132" t="str">
            <v>800197268</v>
          </cell>
          <cell r="R132" t="str">
            <v>U.A.E. DIRECCION DE IMPUESTOS Y ADUANAS NACIONALES</v>
          </cell>
          <cell r="Z132" t="str">
            <v>7826</v>
          </cell>
          <cell r="AG132" t="str">
            <v>SOLICITUD</v>
          </cell>
          <cell r="AH132" t="str">
            <v>TESORERIA CRC</v>
          </cell>
        </row>
        <row r="133">
          <cell r="A133">
            <v>8526</v>
          </cell>
          <cell r="B133" t="str">
            <v>2026-01-28 00:00:00</v>
          </cell>
          <cell r="Q133" t="str">
            <v>800197268</v>
          </cell>
          <cell r="R133" t="str">
            <v>U.A.E. DIRECCION DE IMPUESTOS Y ADUANAS NACIONALES</v>
          </cell>
          <cell r="Z133" t="str">
            <v>326</v>
          </cell>
          <cell r="AG133" t="str">
            <v>SOLICITUD</v>
          </cell>
          <cell r="AH133" t="str">
            <v>TESORERIA CRC</v>
          </cell>
        </row>
        <row r="134">
          <cell r="A134">
            <v>8626</v>
          </cell>
          <cell r="B134" t="str">
            <v>2026-01-28 00:00:00</v>
          </cell>
          <cell r="Q134" t="str">
            <v>800197268</v>
          </cell>
          <cell r="R134" t="str">
            <v>U.A.E. DIRECCION DE IMPUESTOS Y ADUANAS NACIONALES</v>
          </cell>
          <cell r="Z134" t="str">
            <v>426</v>
          </cell>
          <cell r="AG134" t="str">
            <v>SOLICITUD</v>
          </cell>
          <cell r="AH134" t="str">
            <v>TESORERIA CRC</v>
          </cell>
        </row>
        <row r="135">
          <cell r="A135">
            <v>8626</v>
          </cell>
          <cell r="B135" t="str">
            <v>2026-01-28 00:00:00</v>
          </cell>
          <cell r="Q135" t="str">
            <v>800197268</v>
          </cell>
          <cell r="R135" t="str">
            <v>U.A.E. DIRECCION DE IMPUESTOS Y ADUANAS NACIONALES</v>
          </cell>
          <cell r="Z135" t="str">
            <v>426</v>
          </cell>
          <cell r="AG135" t="str">
            <v>SOLICITUD</v>
          </cell>
          <cell r="AH135" t="str">
            <v>TESORERIA CRC</v>
          </cell>
        </row>
        <row r="136">
          <cell r="A136">
            <v>8626</v>
          </cell>
          <cell r="B136" t="str">
            <v>2026-01-28 00:00:00</v>
          </cell>
          <cell r="Q136" t="str">
            <v>800197268</v>
          </cell>
          <cell r="R136" t="str">
            <v>U.A.E. DIRECCION DE IMPUESTOS Y ADUANAS NACIONALES</v>
          </cell>
          <cell r="Z136" t="str">
            <v>426</v>
          </cell>
          <cell r="AG136" t="str">
            <v>SOLICITUD</v>
          </cell>
          <cell r="AH136" t="str">
            <v>TESORERIA CRC</v>
          </cell>
        </row>
        <row r="137">
          <cell r="A137">
            <v>8626</v>
          </cell>
          <cell r="B137" t="str">
            <v>2026-01-28 00:00:00</v>
          </cell>
          <cell r="Q137" t="str">
            <v>800197268</v>
          </cell>
          <cell r="R137" t="str">
            <v>U.A.E. DIRECCION DE IMPUESTOS Y ADUANAS NACIONALES</v>
          </cell>
          <cell r="Z137" t="str">
            <v>426</v>
          </cell>
          <cell r="AG137" t="str">
            <v>SOLICITUD</v>
          </cell>
          <cell r="AH137" t="str">
            <v>TESORERIA CRC</v>
          </cell>
        </row>
        <row r="138">
          <cell r="A138">
            <v>8626</v>
          </cell>
          <cell r="B138" t="str">
            <v>2026-01-28 00:00:00</v>
          </cell>
          <cell r="Q138" t="str">
            <v>800197268</v>
          </cell>
          <cell r="R138" t="str">
            <v>U.A.E. DIRECCION DE IMPUESTOS Y ADUANAS NACIONALES</v>
          </cell>
          <cell r="Z138" t="str">
            <v>426</v>
          </cell>
          <cell r="AG138" t="str">
            <v>SOLICITUD</v>
          </cell>
          <cell r="AH138" t="str">
            <v>TESORERIA CRC</v>
          </cell>
        </row>
        <row r="139">
          <cell r="A139">
            <v>8626</v>
          </cell>
          <cell r="B139" t="str">
            <v>2026-01-28 00:00:00</v>
          </cell>
          <cell r="Q139" t="str">
            <v>800197268</v>
          </cell>
          <cell r="R139" t="str">
            <v>U.A.E. DIRECCION DE IMPUESTOS Y ADUANAS NACIONALES</v>
          </cell>
          <cell r="Z139" t="str">
            <v>426</v>
          </cell>
          <cell r="AG139" t="str">
            <v>SOLICITUD</v>
          </cell>
          <cell r="AH139" t="str">
            <v>TESORERIA CRC</v>
          </cell>
        </row>
        <row r="140">
          <cell r="A140">
            <v>8726</v>
          </cell>
          <cell r="B140" t="str">
            <v>2026-02-03 00:00:00</v>
          </cell>
          <cell r="Q140" t="str">
            <v>830002593</v>
          </cell>
          <cell r="R140" t="str">
            <v>COMISION DE REGULACION DE COMUNICACIONES</v>
          </cell>
          <cell r="Z140" t="str">
            <v>426</v>
          </cell>
          <cell r="AG140" t="str">
            <v>PLANILLA SEGURIDAD SOCIAL</v>
          </cell>
          <cell r="AH140" t="str">
            <v>83344746/2025</v>
          </cell>
        </row>
        <row r="141">
          <cell r="A141">
            <v>8726</v>
          </cell>
          <cell r="B141" t="str">
            <v>2026-02-03 00:00:00</v>
          </cell>
          <cell r="Q141" t="str">
            <v>830002593</v>
          </cell>
          <cell r="R141" t="str">
            <v>COMISION DE REGULACION DE COMUNICACIONES</v>
          </cell>
          <cell r="Z141" t="str">
            <v>426</v>
          </cell>
          <cell r="AG141" t="str">
            <v>PLANILLA SEGURIDAD SOCIAL</v>
          </cell>
          <cell r="AH141" t="str">
            <v>83344746/2025</v>
          </cell>
        </row>
        <row r="142">
          <cell r="A142">
            <v>8726</v>
          </cell>
          <cell r="B142" t="str">
            <v>2026-02-03 00:00:00</v>
          </cell>
          <cell r="Q142" t="str">
            <v>830002593</v>
          </cell>
          <cell r="R142" t="str">
            <v>COMISION DE REGULACION DE COMUNICACIONES</v>
          </cell>
          <cell r="Z142" t="str">
            <v>426</v>
          </cell>
          <cell r="AG142" t="str">
            <v>PLANILLA SEGURIDAD SOCIAL</v>
          </cell>
          <cell r="AH142" t="str">
            <v>83344746/2025</v>
          </cell>
        </row>
        <row r="143">
          <cell r="A143">
            <v>8726</v>
          </cell>
          <cell r="B143" t="str">
            <v>2026-02-03 00:00:00</v>
          </cell>
          <cell r="Q143" t="str">
            <v>830002593</v>
          </cell>
          <cell r="R143" t="str">
            <v>COMISION DE REGULACION DE COMUNICACIONES</v>
          </cell>
          <cell r="Z143" t="str">
            <v>426</v>
          </cell>
          <cell r="AG143" t="str">
            <v>PLANILLA SEGURIDAD SOCIAL</v>
          </cell>
          <cell r="AH143" t="str">
            <v>83344746/2025</v>
          </cell>
        </row>
        <row r="144">
          <cell r="A144">
            <v>8726</v>
          </cell>
          <cell r="B144" t="str">
            <v>2026-02-03 00:00:00</v>
          </cell>
          <cell r="Q144" t="str">
            <v>830002593</v>
          </cell>
          <cell r="R144" t="str">
            <v>COMISION DE REGULACION DE COMUNICACIONES</v>
          </cell>
          <cell r="Z144" t="str">
            <v>426</v>
          </cell>
          <cell r="AG144" t="str">
            <v>PLANILLA SEGURIDAD SOCIAL</v>
          </cell>
          <cell r="AH144" t="str">
            <v>83344746/2025</v>
          </cell>
        </row>
        <row r="145">
          <cell r="A145">
            <v>8726</v>
          </cell>
          <cell r="B145" t="str">
            <v>2026-02-03 00:00:00</v>
          </cell>
          <cell r="Q145" t="str">
            <v>830002593</v>
          </cell>
          <cell r="R145" t="str">
            <v>COMISION DE REGULACION DE COMUNICACIONES</v>
          </cell>
          <cell r="Z145" t="str">
            <v>426</v>
          </cell>
          <cell r="AG145" t="str">
            <v>PLANILLA SEGURIDAD SOCIAL</v>
          </cell>
          <cell r="AH145" t="str">
            <v>83344746/2025</v>
          </cell>
        </row>
        <row r="146">
          <cell r="A146">
            <v>8826</v>
          </cell>
          <cell r="B146" t="str">
            <v>2026-02-04 00:00:00</v>
          </cell>
          <cell r="Q146" t="str">
            <v>52230874</v>
          </cell>
          <cell r="R146" t="str">
            <v>RICO VERA SANDRA MILENA</v>
          </cell>
          <cell r="Z146" t="str">
            <v>326</v>
          </cell>
          <cell r="AG146" t="str">
            <v>NOMINA</v>
          </cell>
          <cell r="AH146" t="str">
            <v>VACACIONES</v>
          </cell>
        </row>
        <row r="147">
          <cell r="A147">
            <v>8826</v>
          </cell>
          <cell r="B147" t="str">
            <v>2026-02-04 00:00:00</v>
          </cell>
          <cell r="Q147" t="str">
            <v>52230874</v>
          </cell>
          <cell r="R147" t="str">
            <v>RICO VERA SANDRA MILENA</v>
          </cell>
          <cell r="Z147" t="str">
            <v>326</v>
          </cell>
          <cell r="AG147" t="str">
            <v>NOMINA</v>
          </cell>
          <cell r="AH147" t="str">
            <v>VACACIONES</v>
          </cell>
        </row>
        <row r="148">
          <cell r="A148">
            <v>8826</v>
          </cell>
          <cell r="B148" t="str">
            <v>2026-02-04 00:00:00</v>
          </cell>
          <cell r="Q148" t="str">
            <v>52230874</v>
          </cell>
          <cell r="R148" t="str">
            <v>RICO VERA SANDRA MILENA</v>
          </cell>
          <cell r="Z148" t="str">
            <v>326</v>
          </cell>
          <cell r="AG148" t="str">
            <v>NOMINA</v>
          </cell>
          <cell r="AH148" t="str">
            <v>VACACIONES</v>
          </cell>
        </row>
        <row r="149">
          <cell r="A149">
            <v>8926</v>
          </cell>
          <cell r="B149" t="str">
            <v>2026-02-04 00:00:00</v>
          </cell>
          <cell r="Q149" t="str">
            <v>830002593</v>
          </cell>
          <cell r="R149" t="str">
            <v>COMISION DE REGULACION DE COMUNICACIONES</v>
          </cell>
          <cell r="Z149" t="str">
            <v>8426</v>
          </cell>
          <cell r="AG149" t="str">
            <v>RESOLUCION</v>
          </cell>
          <cell r="AH149" t="str">
            <v>061/2026</v>
          </cell>
        </row>
        <row r="150">
          <cell r="A150">
            <v>8926</v>
          </cell>
          <cell r="B150" t="str">
            <v>2026-02-04 00:00:00</v>
          </cell>
          <cell r="Q150" t="str">
            <v>830002593</v>
          </cell>
          <cell r="R150" t="str">
            <v>COMISION DE REGULACION DE COMUNICACIONES</v>
          </cell>
          <cell r="Z150" t="str">
            <v>8426</v>
          </cell>
          <cell r="AG150" t="str">
            <v>RESOLUCION</v>
          </cell>
          <cell r="AH150" t="str">
            <v>061/2026</v>
          </cell>
        </row>
        <row r="151">
          <cell r="A151">
            <v>8926</v>
          </cell>
          <cell r="B151" t="str">
            <v>2026-02-04 00:00:00</v>
          </cell>
          <cell r="Q151" t="str">
            <v>830002593</v>
          </cell>
          <cell r="R151" t="str">
            <v>COMISION DE REGULACION DE COMUNICACIONES</v>
          </cell>
          <cell r="Z151" t="str">
            <v>8426</v>
          </cell>
          <cell r="AG151" t="str">
            <v>RESOLUCION</v>
          </cell>
          <cell r="AH151" t="str">
            <v>061/2026</v>
          </cell>
        </row>
        <row r="152">
          <cell r="A152">
            <v>8926</v>
          </cell>
          <cell r="B152" t="str">
            <v>2026-02-04 00:00:00</v>
          </cell>
          <cell r="Q152" t="str">
            <v>830002593</v>
          </cell>
          <cell r="R152" t="str">
            <v>COMISION DE REGULACION DE COMUNICACIONES</v>
          </cell>
          <cell r="Z152" t="str">
            <v>8426</v>
          </cell>
          <cell r="AG152" t="str">
            <v>RESOLUCION</v>
          </cell>
          <cell r="AH152" t="str">
            <v>061/2026</v>
          </cell>
        </row>
        <row r="153">
          <cell r="A153">
            <v>9026</v>
          </cell>
          <cell r="B153" t="str">
            <v>2026-02-05 00:00:00</v>
          </cell>
          <cell r="Q153" t="str">
            <v>830070346</v>
          </cell>
          <cell r="R153" t="str">
            <v>LITIGAR PUNTO COM SAS</v>
          </cell>
          <cell r="Z153" t="str">
            <v>5626</v>
          </cell>
          <cell r="AG153" t="str">
            <v>CONTRATO DE PRESTACION DE SERVICIOS</v>
          </cell>
          <cell r="AH153" t="str">
            <v>56/2026</v>
          </cell>
        </row>
        <row r="154">
          <cell r="A154">
            <v>9126</v>
          </cell>
          <cell r="B154" t="str">
            <v>2026-02-05 00:00:00</v>
          </cell>
          <cell r="Q154" t="str">
            <v>52249730</v>
          </cell>
          <cell r="R154" t="str">
            <v>DUQUE DEL VECCHIO LINA</v>
          </cell>
          <cell r="Z154" t="str">
            <v>7926</v>
          </cell>
          <cell r="AG154" t="str">
            <v>OTRAS AUTORIZACIONES ESPECIALES</v>
          </cell>
          <cell r="AH154" t="str">
            <v>133032/2026</v>
          </cell>
        </row>
        <row r="155">
          <cell r="A155">
            <v>9226</v>
          </cell>
          <cell r="B155" t="str">
            <v>2026-02-05 00:00:00</v>
          </cell>
          <cell r="Q155" t="str">
            <v>79459578</v>
          </cell>
          <cell r="R155" t="str">
            <v>CONTRERAS FUSET SADI ALFONSO</v>
          </cell>
          <cell r="Z155" t="str">
            <v>8026</v>
          </cell>
          <cell r="AG155" t="str">
            <v>OTRAS AUTORIZACIONES ESPECIALES</v>
          </cell>
          <cell r="AH155" t="str">
            <v>133034/2026</v>
          </cell>
        </row>
        <row r="156">
          <cell r="A156">
            <v>9326</v>
          </cell>
          <cell r="B156" t="str">
            <v>2026-02-05 00:00:00</v>
          </cell>
          <cell r="Q156" t="str">
            <v>900516872</v>
          </cell>
          <cell r="R156" t="str">
            <v>EDIFICIO LINK 7-60</v>
          </cell>
          <cell r="Z156" t="str">
            <v>126</v>
          </cell>
          <cell r="AG156" t="str">
            <v>FACTURA</v>
          </cell>
          <cell r="AH156" t="str">
            <v>LK7526</v>
          </cell>
        </row>
        <row r="157">
          <cell r="A157">
            <v>9426</v>
          </cell>
          <cell r="B157" t="str">
            <v>2026-02-05 00:00:00</v>
          </cell>
          <cell r="Q157" t="str">
            <v>800003442</v>
          </cell>
          <cell r="R157" t="str">
            <v>NOVATOURS LTDA</v>
          </cell>
          <cell r="Z157" t="str">
            <v>2226</v>
          </cell>
          <cell r="AG157" t="str">
            <v>CONTRATO DE PRESTACION DE SERVICIOS</v>
          </cell>
          <cell r="AH157" t="str">
            <v>57/2026</v>
          </cell>
        </row>
        <row r="158">
          <cell r="A158">
            <v>9526</v>
          </cell>
          <cell r="B158" t="str">
            <v>2026-02-06 00:00:00</v>
          </cell>
          <cell r="Q158" t="str">
            <v>1192785640</v>
          </cell>
          <cell r="R158" t="str">
            <v>RAMIREZ GUZMAN JHONATAN ANDRES</v>
          </cell>
          <cell r="Z158" t="str">
            <v>526</v>
          </cell>
          <cell r="AG158" t="str">
            <v>RESOLUCION</v>
          </cell>
          <cell r="AH158" t="str">
            <v>063/2026</v>
          </cell>
        </row>
        <row r="159">
          <cell r="A159">
            <v>9626</v>
          </cell>
          <cell r="B159" t="str">
            <v>2026-02-09 00:00:00</v>
          </cell>
          <cell r="Q159" t="str">
            <v>900777884</v>
          </cell>
          <cell r="R159" t="str">
            <v>ORGANIZACION IGP SAS</v>
          </cell>
          <cell r="Z159" t="str">
            <v>2126</v>
          </cell>
          <cell r="AG159" t="str">
            <v>LOA - CARTA ACEPTACION</v>
          </cell>
          <cell r="AH159" t="str">
            <v>58/2026</v>
          </cell>
        </row>
        <row r="160">
          <cell r="A160">
            <v>9726</v>
          </cell>
          <cell r="B160" t="str">
            <v>2026-02-12 00:00:00</v>
          </cell>
          <cell r="Q160" t="str">
            <v>830002593</v>
          </cell>
          <cell r="R160" t="str">
            <v>COMISION DE REGULACION DE COMUNICACIONES</v>
          </cell>
          <cell r="Z160" t="str">
            <v>9026</v>
          </cell>
          <cell r="AG160" t="str">
            <v>RESOLUCION</v>
          </cell>
          <cell r="AH160" t="str">
            <v>071/2026</v>
          </cell>
        </row>
        <row r="161">
          <cell r="A161">
            <v>9726</v>
          </cell>
          <cell r="B161" t="str">
            <v>2026-02-12 00:00:00</v>
          </cell>
          <cell r="Q161" t="str">
            <v>830002593</v>
          </cell>
          <cell r="R161" t="str">
            <v>COMISION DE REGULACION DE COMUNICACIONES</v>
          </cell>
          <cell r="Z161" t="str">
            <v>9026</v>
          </cell>
          <cell r="AG161" t="str">
            <v>RESOLUCION</v>
          </cell>
          <cell r="AH161" t="str">
            <v>071/2026</v>
          </cell>
        </row>
        <row r="162">
          <cell r="A162">
            <v>9826</v>
          </cell>
          <cell r="B162" t="str">
            <v>2026-02-13 00:00:00</v>
          </cell>
          <cell r="Q162" t="str">
            <v>79459578</v>
          </cell>
          <cell r="R162" t="str">
            <v>CONTRERAS FUSET SADI ALFONSO</v>
          </cell>
          <cell r="Z162" t="str">
            <v>7726</v>
          </cell>
          <cell r="AG162" t="str">
            <v>ACTA</v>
          </cell>
          <cell r="AH162" t="str">
            <v>1554/2026</v>
          </cell>
        </row>
        <row r="163">
          <cell r="A163">
            <v>9926</v>
          </cell>
          <cell r="B163" t="str">
            <v>2026-02-17 00:00:00</v>
          </cell>
          <cell r="Q163" t="str">
            <v>830002593</v>
          </cell>
          <cell r="R163" t="str">
            <v>COMISION DE REGULACION DE COMUNICACIONES</v>
          </cell>
          <cell r="Z163" t="str">
            <v>326</v>
          </cell>
          <cell r="AG163" t="str">
            <v>NOMINA</v>
          </cell>
          <cell r="AH163" t="str">
            <v>FEBRERO/2026</v>
          </cell>
        </row>
        <row r="164">
          <cell r="A164">
            <v>9926</v>
          </cell>
          <cell r="B164" t="str">
            <v>2026-02-17 00:00:00</v>
          </cell>
          <cell r="Q164" t="str">
            <v>830002593</v>
          </cell>
          <cell r="R164" t="str">
            <v>COMISION DE REGULACION DE COMUNICACIONES</v>
          </cell>
          <cell r="Z164" t="str">
            <v>326</v>
          </cell>
          <cell r="AG164" t="str">
            <v>NOMINA</v>
          </cell>
          <cell r="AH164" t="str">
            <v>FEBRERO/2026</v>
          </cell>
        </row>
        <row r="165">
          <cell r="A165">
            <v>9926</v>
          </cell>
          <cell r="B165" t="str">
            <v>2026-02-17 00:00:00</v>
          </cell>
          <cell r="Q165" t="str">
            <v>830002593</v>
          </cell>
          <cell r="R165" t="str">
            <v>COMISION DE REGULACION DE COMUNICACIONES</v>
          </cell>
          <cell r="Z165" t="str">
            <v>326</v>
          </cell>
          <cell r="AG165" t="str">
            <v>NOMINA</v>
          </cell>
          <cell r="AH165" t="str">
            <v>FEBRERO/2026</v>
          </cell>
        </row>
        <row r="166">
          <cell r="A166">
            <v>9926</v>
          </cell>
          <cell r="B166" t="str">
            <v>2026-02-17 00:00:00</v>
          </cell>
          <cell r="Q166" t="str">
            <v>830002593</v>
          </cell>
          <cell r="R166" t="str">
            <v>COMISION DE REGULACION DE COMUNICACIONES</v>
          </cell>
          <cell r="Z166" t="str">
            <v>326</v>
          </cell>
          <cell r="AG166" t="str">
            <v>NOMINA</v>
          </cell>
          <cell r="AH166" t="str">
            <v>FEBRERO/2026</v>
          </cell>
        </row>
        <row r="167">
          <cell r="A167">
            <v>9926</v>
          </cell>
          <cell r="B167" t="str">
            <v>2026-02-17 00:00:00</v>
          </cell>
          <cell r="Q167" t="str">
            <v>830002593</v>
          </cell>
          <cell r="R167" t="str">
            <v>COMISION DE REGULACION DE COMUNICACIONES</v>
          </cell>
          <cell r="Z167" t="str">
            <v>326</v>
          </cell>
          <cell r="AG167" t="str">
            <v>NOMINA</v>
          </cell>
          <cell r="AH167" t="str">
            <v>FEBRERO/2026</v>
          </cell>
        </row>
        <row r="168">
          <cell r="A168">
            <v>9926</v>
          </cell>
          <cell r="B168" t="str">
            <v>2026-02-17 00:00:00</v>
          </cell>
          <cell r="Q168" t="str">
            <v>830002593</v>
          </cell>
          <cell r="R168" t="str">
            <v>COMISION DE REGULACION DE COMUNICACIONES</v>
          </cell>
          <cell r="Z168" t="str">
            <v>326</v>
          </cell>
          <cell r="AG168" t="str">
            <v>NOMINA</v>
          </cell>
          <cell r="AH168" t="str">
            <v>FEBRERO/2026</v>
          </cell>
        </row>
        <row r="169">
          <cell r="A169">
            <v>9926</v>
          </cell>
          <cell r="B169" t="str">
            <v>2026-02-17 00:00:00</v>
          </cell>
          <cell r="Q169" t="str">
            <v>830002593</v>
          </cell>
          <cell r="R169" t="str">
            <v>COMISION DE REGULACION DE COMUNICACIONES</v>
          </cell>
          <cell r="Z169" t="str">
            <v>326</v>
          </cell>
          <cell r="AG169" t="str">
            <v>NOMINA</v>
          </cell>
          <cell r="AH169" t="str">
            <v>FEBRERO/2026</v>
          </cell>
        </row>
        <row r="170">
          <cell r="A170">
            <v>9926</v>
          </cell>
          <cell r="B170" t="str">
            <v>2026-02-17 00:00:00</v>
          </cell>
          <cell r="Q170" t="str">
            <v>830002593</v>
          </cell>
          <cell r="R170" t="str">
            <v>COMISION DE REGULACION DE COMUNICACIONES</v>
          </cell>
          <cell r="Z170" t="str">
            <v>326</v>
          </cell>
          <cell r="AG170" t="str">
            <v>NOMINA</v>
          </cell>
          <cell r="AH170" t="str">
            <v>FEBRERO/2026</v>
          </cell>
        </row>
        <row r="171">
          <cell r="A171">
            <v>9926</v>
          </cell>
          <cell r="B171" t="str">
            <v>2026-02-17 00:00:00</v>
          </cell>
          <cell r="Q171" t="str">
            <v>830002593</v>
          </cell>
          <cell r="R171" t="str">
            <v>COMISION DE REGULACION DE COMUNICACIONES</v>
          </cell>
          <cell r="Z171" t="str">
            <v>326</v>
          </cell>
          <cell r="AG171" t="str">
            <v>NOMINA</v>
          </cell>
          <cell r="AH171" t="str">
            <v>FEBRERO/2026</v>
          </cell>
        </row>
        <row r="172">
          <cell r="A172">
            <v>9926</v>
          </cell>
          <cell r="B172" t="str">
            <v>2026-02-17 00:00:00</v>
          </cell>
          <cell r="Q172" t="str">
            <v>830002593</v>
          </cell>
          <cell r="R172" t="str">
            <v>COMISION DE REGULACION DE COMUNICACIONES</v>
          </cell>
          <cell r="Z172" t="str">
            <v>326</v>
          </cell>
          <cell r="AG172" t="str">
            <v>NOMINA</v>
          </cell>
          <cell r="AH172" t="str">
            <v>FEBRERO/2026</v>
          </cell>
        </row>
        <row r="173">
          <cell r="A173">
            <v>9926</v>
          </cell>
          <cell r="B173" t="str">
            <v>2026-02-17 00:00:00</v>
          </cell>
          <cell r="Q173" t="str">
            <v>830002593</v>
          </cell>
          <cell r="R173" t="str">
            <v>COMISION DE REGULACION DE COMUNICACIONES</v>
          </cell>
          <cell r="Z173" t="str">
            <v>326</v>
          </cell>
          <cell r="AG173" t="str">
            <v>NOMINA</v>
          </cell>
          <cell r="AH173" t="str">
            <v>FEBRERO/2026</v>
          </cell>
        </row>
        <row r="174">
          <cell r="A174">
            <v>9926</v>
          </cell>
          <cell r="B174" t="str">
            <v>2026-02-17 00:00:00</v>
          </cell>
          <cell r="Q174" t="str">
            <v>830002593</v>
          </cell>
          <cell r="R174" t="str">
            <v>COMISION DE REGULACION DE COMUNICACIONES</v>
          </cell>
          <cell r="Z174" t="str">
            <v>326</v>
          </cell>
          <cell r="AG174" t="str">
            <v>NOMINA</v>
          </cell>
          <cell r="AH174" t="str">
            <v>FEBRERO/2026</v>
          </cell>
        </row>
        <row r="175">
          <cell r="A175">
            <v>9926</v>
          </cell>
          <cell r="B175" t="str">
            <v>2026-02-17 00:00:00</v>
          </cell>
          <cell r="Q175" t="str">
            <v>830002593</v>
          </cell>
          <cell r="R175" t="str">
            <v>COMISION DE REGULACION DE COMUNICACIONES</v>
          </cell>
          <cell r="Z175" t="str">
            <v>326</v>
          </cell>
          <cell r="AG175" t="str">
            <v>NOMINA</v>
          </cell>
          <cell r="AH175" t="str">
            <v>FEBRERO/2026</v>
          </cell>
        </row>
        <row r="176">
          <cell r="A176">
            <v>9926</v>
          </cell>
          <cell r="B176" t="str">
            <v>2026-02-17 00:00:00</v>
          </cell>
          <cell r="Q176" t="str">
            <v>830002593</v>
          </cell>
          <cell r="R176" t="str">
            <v>COMISION DE REGULACION DE COMUNICACIONES</v>
          </cell>
          <cell r="Z176" t="str">
            <v>326</v>
          </cell>
          <cell r="AG176" t="str">
            <v>NOMINA</v>
          </cell>
          <cell r="AH176" t="str">
            <v>FEBRERO/2026</v>
          </cell>
        </row>
        <row r="177">
          <cell r="A177">
            <v>9926</v>
          </cell>
          <cell r="B177" t="str">
            <v>2026-02-17 00:00:00</v>
          </cell>
          <cell r="Q177" t="str">
            <v>830002593</v>
          </cell>
          <cell r="R177" t="str">
            <v>COMISION DE REGULACION DE COMUNICACIONES</v>
          </cell>
          <cell r="Z177" t="str">
            <v>326</v>
          </cell>
          <cell r="AG177" t="str">
            <v>NOMINA</v>
          </cell>
          <cell r="AH177" t="str">
            <v>FEBRERO/2026</v>
          </cell>
        </row>
        <row r="178">
          <cell r="A178">
            <v>10026</v>
          </cell>
          <cell r="B178" t="str">
            <v>2026-02-17 00:00:00</v>
          </cell>
          <cell r="Q178" t="str">
            <v>1128047454</v>
          </cell>
          <cell r="R178" t="str">
            <v>DIAZ SUAZA FELIPE AUGUSTO</v>
          </cell>
          <cell r="Z178" t="str">
            <v>8126</v>
          </cell>
          <cell r="AG178" t="str">
            <v>OTRAS AUTORIZACIONES ESPECIALES</v>
          </cell>
          <cell r="AH178" t="str">
            <v>133111/2026</v>
          </cell>
        </row>
        <row r="179">
          <cell r="A179">
            <v>10126</v>
          </cell>
          <cell r="B179" t="str">
            <v>2026-02-17 00:00:00</v>
          </cell>
          <cell r="Q179" t="str">
            <v>79591976</v>
          </cell>
          <cell r="R179" t="str">
            <v>GUTIERREZ AFANADOR JAVIER</v>
          </cell>
          <cell r="Z179" t="str">
            <v>8226</v>
          </cell>
          <cell r="AG179" t="str">
            <v>OTRAS AUTORIZACIONES ESPECIALES</v>
          </cell>
          <cell r="AH179" t="str">
            <v>133113/2026</v>
          </cell>
        </row>
        <row r="180">
          <cell r="A180">
            <v>10226</v>
          </cell>
          <cell r="B180" t="str">
            <v>2026-02-17 00:00:00</v>
          </cell>
          <cell r="Q180" t="str">
            <v>52862292</v>
          </cell>
          <cell r="R180" t="str">
            <v>SARMIENTO ARGUELLO MARIANA</v>
          </cell>
          <cell r="Z180" t="str">
            <v>8326</v>
          </cell>
          <cell r="AG180" t="str">
            <v>OTRAS AUTORIZACIONES ESPECIALES</v>
          </cell>
          <cell r="AH180" t="str">
            <v>133116/2026</v>
          </cell>
        </row>
        <row r="181">
          <cell r="A181">
            <v>10326</v>
          </cell>
          <cell r="B181" t="str">
            <v>2026-02-19 00:00:00</v>
          </cell>
          <cell r="Q181" t="str">
            <v>830002593</v>
          </cell>
          <cell r="R181" t="str">
            <v>COMISION DE REGULACION DE COMUNICACIONES</v>
          </cell>
          <cell r="Z181" t="str">
            <v>9126</v>
          </cell>
          <cell r="AG181" t="str">
            <v>RESOLUCION</v>
          </cell>
          <cell r="AH181" t="str">
            <v>103/2026</v>
          </cell>
        </row>
        <row r="182">
          <cell r="A182">
            <v>10326</v>
          </cell>
          <cell r="B182" t="str">
            <v>2026-02-19 00:00:00</v>
          </cell>
          <cell r="Q182" t="str">
            <v>830002593</v>
          </cell>
          <cell r="R182" t="str">
            <v>COMISION DE REGULACION DE COMUNICACIONES</v>
          </cell>
          <cell r="Z182" t="str">
            <v>9126</v>
          </cell>
          <cell r="AG182" t="str">
            <v>RESOLUCION</v>
          </cell>
          <cell r="AH182" t="str">
            <v>103/2026</v>
          </cell>
        </row>
        <row r="183">
          <cell r="A183">
            <v>10326</v>
          </cell>
          <cell r="B183" t="str">
            <v>2026-02-19 00:00:00</v>
          </cell>
          <cell r="Q183" t="str">
            <v>830002593</v>
          </cell>
          <cell r="R183" t="str">
            <v>COMISION DE REGULACION DE COMUNICACIONES</v>
          </cell>
          <cell r="Z183" t="str">
            <v>9126</v>
          </cell>
          <cell r="AG183" t="str">
            <v>RESOLUCION</v>
          </cell>
          <cell r="AH183" t="str">
            <v>103/2026</v>
          </cell>
        </row>
        <row r="184">
          <cell r="A184">
            <v>10426</v>
          </cell>
          <cell r="B184" t="str">
            <v>2026-02-23 00:00:00</v>
          </cell>
          <cell r="Q184" t="str">
            <v>899999284</v>
          </cell>
          <cell r="R184" t="str">
            <v>FONDO NACIONAL DEL AHORRO S.A.</v>
          </cell>
          <cell r="Z184" t="str">
            <v>426</v>
          </cell>
          <cell r="AG184" t="str">
            <v>NOMINA</v>
          </cell>
          <cell r="AH184" t="str">
            <v>FEBRERO 2026</v>
          </cell>
        </row>
        <row r="185">
          <cell r="A185">
            <v>10526</v>
          </cell>
          <cell r="B185" t="str">
            <v>2026-02-23 00:00:00</v>
          </cell>
          <cell r="Q185" t="str">
            <v>10143555</v>
          </cell>
          <cell r="R185" t="str">
            <v>VERA SANCHEZ MAURICIO</v>
          </cell>
          <cell r="Z185" t="str">
            <v>7726</v>
          </cell>
          <cell r="AG185" t="str">
            <v>ACTA</v>
          </cell>
          <cell r="AH185" t="str">
            <v>1556/2026</v>
          </cell>
        </row>
        <row r="186">
          <cell r="A186">
            <v>10626</v>
          </cell>
          <cell r="B186" t="str">
            <v>2026-02-23 00:00:00</v>
          </cell>
          <cell r="Q186" t="str">
            <v>830002593</v>
          </cell>
          <cell r="R186" t="str">
            <v>COMISION DE REGULACION DE COMUNICACIONES</v>
          </cell>
          <cell r="Z186" t="str">
            <v>426</v>
          </cell>
          <cell r="AG186" t="str">
            <v>NOMINA</v>
          </cell>
          <cell r="AH186" t="str">
            <v>FEBRERO 2026</v>
          </cell>
        </row>
        <row r="187">
          <cell r="A187">
            <v>10626</v>
          </cell>
          <cell r="B187" t="str">
            <v>2026-02-23 00:00:00</v>
          </cell>
          <cell r="Q187" t="str">
            <v>830002593</v>
          </cell>
          <cell r="R187" t="str">
            <v>COMISION DE REGULACION DE COMUNICACIONES</v>
          </cell>
          <cell r="Z187" t="str">
            <v>426</v>
          </cell>
          <cell r="AG187" t="str">
            <v>NOMINA</v>
          </cell>
          <cell r="AH187" t="str">
            <v>FEBRERO 2026</v>
          </cell>
        </row>
        <row r="188">
          <cell r="A188">
            <v>10626</v>
          </cell>
          <cell r="B188" t="str">
            <v>2026-02-23 00:00:00</v>
          </cell>
          <cell r="Q188" t="str">
            <v>830002593</v>
          </cell>
          <cell r="R188" t="str">
            <v>COMISION DE REGULACION DE COMUNICACIONES</v>
          </cell>
          <cell r="Z188" t="str">
            <v>426</v>
          </cell>
          <cell r="AG188" t="str">
            <v>NOMINA</v>
          </cell>
          <cell r="AH188" t="str">
            <v>FEBRERO 2026</v>
          </cell>
        </row>
        <row r="189">
          <cell r="A189">
            <v>10626</v>
          </cell>
          <cell r="B189" t="str">
            <v>2026-02-23 00:00:00</v>
          </cell>
          <cell r="Q189" t="str">
            <v>830002593</v>
          </cell>
          <cell r="R189" t="str">
            <v>COMISION DE REGULACION DE COMUNICACIONES</v>
          </cell>
          <cell r="Z189" t="str">
            <v>426</v>
          </cell>
          <cell r="AG189" t="str">
            <v>NOMINA</v>
          </cell>
          <cell r="AH189" t="str">
            <v>FEBRERO 2026</v>
          </cell>
        </row>
        <row r="190">
          <cell r="A190">
            <v>10626</v>
          </cell>
          <cell r="B190" t="str">
            <v>2026-02-23 00:00:00</v>
          </cell>
          <cell r="Q190" t="str">
            <v>830002593</v>
          </cell>
          <cell r="R190" t="str">
            <v>COMISION DE REGULACION DE COMUNICACIONES</v>
          </cell>
          <cell r="Z190" t="str">
            <v>426</v>
          </cell>
          <cell r="AG190" t="str">
            <v>NOMINA</v>
          </cell>
          <cell r="AH190" t="str">
            <v>FEBRERO 2026</v>
          </cell>
        </row>
        <row r="191">
          <cell r="A191">
            <v>10626</v>
          </cell>
          <cell r="B191" t="str">
            <v>2026-02-23 00:00:00</v>
          </cell>
          <cell r="Q191" t="str">
            <v>830002593</v>
          </cell>
          <cell r="R191" t="str">
            <v>COMISION DE REGULACION DE COMUNICACIONES</v>
          </cell>
          <cell r="Z191" t="str">
            <v>426</v>
          </cell>
          <cell r="AG191" t="str">
            <v>NOMINA</v>
          </cell>
          <cell r="AH191" t="str">
            <v>FEBRERO 2026</v>
          </cell>
        </row>
        <row r="192">
          <cell r="A192">
            <v>10726</v>
          </cell>
          <cell r="B192" t="str">
            <v>2026-02-24 00:00:00</v>
          </cell>
          <cell r="Q192" t="str">
            <v>800197268</v>
          </cell>
          <cell r="R192" t="str">
            <v>U.A.E. DIRECCION DE IMPUESTOS Y ADUANAS NACIONALES</v>
          </cell>
          <cell r="Z192" t="str">
            <v>9426</v>
          </cell>
          <cell r="AG192" t="str">
            <v>SOLICITUD</v>
          </cell>
          <cell r="AH192" t="str">
            <v>TESORERIA CRC</v>
          </cell>
        </row>
        <row r="193">
          <cell r="A193">
            <v>10826</v>
          </cell>
          <cell r="B193" t="str">
            <v>2026-02-24 00:00:00</v>
          </cell>
          <cell r="Q193" t="str">
            <v>800197268</v>
          </cell>
          <cell r="R193" t="str">
            <v>U.A.E. DIRECCION DE IMPUESTOS Y ADUANAS NACIONALES</v>
          </cell>
          <cell r="Z193" t="str">
            <v>426</v>
          </cell>
          <cell r="AG193" t="str">
            <v>SOLICITUD</v>
          </cell>
          <cell r="AH193" t="str">
            <v>TESORERIA CRC</v>
          </cell>
        </row>
        <row r="194">
          <cell r="A194">
            <v>10826</v>
          </cell>
          <cell r="B194" t="str">
            <v>2026-02-24 00:00:00</v>
          </cell>
          <cell r="Q194" t="str">
            <v>800197268</v>
          </cell>
          <cell r="R194" t="str">
            <v>U.A.E. DIRECCION DE IMPUESTOS Y ADUANAS NACIONALES</v>
          </cell>
          <cell r="Z194" t="str">
            <v>426</v>
          </cell>
          <cell r="AG194" t="str">
            <v>SOLICITUD</v>
          </cell>
          <cell r="AH194" t="str">
            <v>TESORERIA CRC</v>
          </cell>
        </row>
        <row r="195">
          <cell r="A195">
            <v>10826</v>
          </cell>
          <cell r="B195" t="str">
            <v>2026-02-24 00:00:00</v>
          </cell>
          <cell r="Q195" t="str">
            <v>800197268</v>
          </cell>
          <cell r="R195" t="str">
            <v>U.A.E. DIRECCION DE IMPUESTOS Y ADUANAS NACIONALES</v>
          </cell>
          <cell r="Z195" t="str">
            <v>426</v>
          </cell>
          <cell r="AG195" t="str">
            <v>SOLICITUD</v>
          </cell>
          <cell r="AH195" t="str">
            <v>TESORERIA CRC</v>
          </cell>
        </row>
        <row r="196">
          <cell r="A196">
            <v>10826</v>
          </cell>
          <cell r="B196" t="str">
            <v>2026-02-24 00:00:00</v>
          </cell>
          <cell r="Q196" t="str">
            <v>800197268</v>
          </cell>
          <cell r="R196" t="str">
            <v>U.A.E. DIRECCION DE IMPUESTOS Y ADUANAS NACIONALES</v>
          </cell>
          <cell r="Z196" t="str">
            <v>426</v>
          </cell>
          <cell r="AG196" t="str">
            <v>SOLICITUD</v>
          </cell>
          <cell r="AH196" t="str">
            <v>TESORERIA CRC</v>
          </cell>
        </row>
        <row r="197">
          <cell r="A197">
            <v>10826</v>
          </cell>
          <cell r="B197" t="str">
            <v>2026-02-24 00:00:00</v>
          </cell>
          <cell r="Q197" t="str">
            <v>800197268</v>
          </cell>
          <cell r="R197" t="str">
            <v>U.A.E. DIRECCION DE IMPUESTOS Y ADUANAS NACIONALES</v>
          </cell>
          <cell r="Z197" t="str">
            <v>426</v>
          </cell>
          <cell r="AG197" t="str">
            <v>SOLICITUD</v>
          </cell>
          <cell r="AH197" t="str">
            <v>TESORERIA CRC</v>
          </cell>
        </row>
        <row r="198">
          <cell r="A198">
            <v>10826</v>
          </cell>
          <cell r="B198" t="str">
            <v>2026-02-24 00:00:00</v>
          </cell>
          <cell r="Q198" t="str">
            <v>800197268</v>
          </cell>
          <cell r="R198" t="str">
            <v>U.A.E. DIRECCION DE IMPUESTOS Y ADUANAS NACIONALES</v>
          </cell>
          <cell r="Z198" t="str">
            <v>426</v>
          </cell>
          <cell r="AG198" t="str">
            <v>SOLICITUD</v>
          </cell>
          <cell r="AH198" t="str">
            <v>TESORERIA CRC</v>
          </cell>
        </row>
        <row r="199">
          <cell r="A199">
            <v>10926</v>
          </cell>
          <cell r="B199" t="str">
            <v>2026-02-24 00:00:00</v>
          </cell>
          <cell r="Q199" t="str">
            <v>800197268</v>
          </cell>
          <cell r="R199" t="str">
            <v>U.A.E. DIRECCION DE IMPUESTOS Y ADUANAS NACIONALES</v>
          </cell>
          <cell r="Z199" t="str">
            <v>326</v>
          </cell>
          <cell r="AG199" t="str">
            <v>SOLICITUD</v>
          </cell>
          <cell r="AH199" t="str">
            <v>TESORERIA CRC</v>
          </cell>
        </row>
        <row r="200">
          <cell r="A200">
            <v>11026</v>
          </cell>
          <cell r="B200" t="str">
            <v>2026-02-24 00:00:00</v>
          </cell>
          <cell r="Q200" t="str">
            <v>860002503</v>
          </cell>
          <cell r="R200" t="str">
            <v>COMPAÑIA DE SEGUROS BOLIVAR S A TAMBIEN PODRA GIRAR BAJO LA DENOMINACION SEGUROS BOLIVAR S A</v>
          </cell>
          <cell r="Z200" t="str">
            <v>7526</v>
          </cell>
          <cell r="AG200" t="str">
            <v>PLANILLA SEGURIDAD SOCIAL</v>
          </cell>
          <cell r="AH200" t="str">
            <v>83896660/FEBRERO 2026</v>
          </cell>
        </row>
        <row r="201">
          <cell r="A201">
            <v>11126</v>
          </cell>
          <cell r="B201" t="str">
            <v>2026-02-24 00:00:00</v>
          </cell>
          <cell r="Q201" t="str">
            <v>900459737</v>
          </cell>
          <cell r="R201" t="str">
            <v>GRUPO EDS AUTOGAS S.A.S.</v>
          </cell>
          <cell r="Z201" t="str">
            <v>3426</v>
          </cell>
          <cell r="AG201" t="str">
            <v>LOA - CARTA ACEPTACION</v>
          </cell>
          <cell r="AH201" t="str">
            <v>59/2026</v>
          </cell>
        </row>
        <row r="202">
          <cell r="A202">
            <v>11226</v>
          </cell>
          <cell r="B202" t="str">
            <v>2026-02-25 00:00:00</v>
          </cell>
          <cell r="Q202" t="str">
            <v>830002593</v>
          </cell>
          <cell r="R202" t="str">
            <v>COMISION DE REGULACION DE COMUNICACIONES</v>
          </cell>
          <cell r="Z202" t="str">
            <v>9526</v>
          </cell>
          <cell r="AG202" t="str">
            <v>RESOLUCION</v>
          </cell>
          <cell r="AH202" t="str">
            <v>115/2026</v>
          </cell>
        </row>
        <row r="203">
          <cell r="A203">
            <v>11226</v>
          </cell>
          <cell r="B203" t="str">
            <v>2026-02-25 00:00:00</v>
          </cell>
          <cell r="Q203" t="str">
            <v>830002593</v>
          </cell>
          <cell r="R203" t="str">
            <v>COMISION DE REGULACION DE COMUNICACIONES</v>
          </cell>
          <cell r="Z203" t="str">
            <v>9526</v>
          </cell>
          <cell r="AG203" t="str">
            <v>RESOLUCION</v>
          </cell>
          <cell r="AH203" t="str">
            <v>115/2026</v>
          </cell>
        </row>
        <row r="204">
          <cell r="A204">
            <v>11326</v>
          </cell>
          <cell r="B204" t="str">
            <v>2026-02-26 00:00:00</v>
          </cell>
          <cell r="Q204" t="str">
            <v>901148057</v>
          </cell>
          <cell r="R204" t="str">
            <v>INTERGLOBAL SERVICIOS COLOMBIA S.A.S.</v>
          </cell>
          <cell r="Z204" t="str">
            <v>9926</v>
          </cell>
          <cell r="AG204" t="str">
            <v>ACTA</v>
          </cell>
          <cell r="AH204" t="str">
            <v>01/2026</v>
          </cell>
        </row>
        <row r="205">
          <cell r="A205">
            <v>11426</v>
          </cell>
          <cell r="B205" t="str">
            <v>2026-03-03 00:00:00</v>
          </cell>
          <cell r="Q205" t="str">
            <v>1020716683</v>
          </cell>
          <cell r="R205" t="str">
            <v>GARCIA RAMIREZ RUBEN FELIPE</v>
          </cell>
          <cell r="Z205" t="str">
            <v>326</v>
          </cell>
          <cell r="AG205" t="str">
            <v>NOMINA</v>
          </cell>
          <cell r="AH205" t="str">
            <v>MARZO/2026</v>
          </cell>
        </row>
        <row r="206">
          <cell r="A206">
            <v>11426</v>
          </cell>
          <cell r="B206" t="str">
            <v>2026-03-03 00:00:00</v>
          </cell>
          <cell r="Q206" t="str">
            <v>1020716683</v>
          </cell>
          <cell r="R206" t="str">
            <v>GARCIA RAMIREZ RUBEN FELIPE</v>
          </cell>
          <cell r="Z206" t="str">
            <v>326</v>
          </cell>
          <cell r="AG206" t="str">
            <v>NOMINA</v>
          </cell>
          <cell r="AH206" t="str">
            <v>MARZO/2026</v>
          </cell>
        </row>
        <row r="207">
          <cell r="A207">
            <v>11426</v>
          </cell>
          <cell r="B207" t="str">
            <v>2026-03-03 00:00:00</v>
          </cell>
          <cell r="Q207" t="str">
            <v>1020716683</v>
          </cell>
          <cell r="R207" t="str">
            <v>GARCIA RAMIREZ RUBEN FELIPE</v>
          </cell>
          <cell r="Z207" t="str">
            <v>326</v>
          </cell>
          <cell r="AG207" t="str">
            <v>NOMINA</v>
          </cell>
          <cell r="AH207" t="str">
            <v>MARZO/2026</v>
          </cell>
        </row>
        <row r="208">
          <cell r="A208">
            <v>11526</v>
          </cell>
          <cell r="B208" t="str">
            <v>2026-03-03 00:00:00</v>
          </cell>
          <cell r="Q208" t="str">
            <v>900457310</v>
          </cell>
          <cell r="R208" t="str">
            <v>CREAR IMAGEN DISEÑO WEB Y MULTIMEDIA S A S</v>
          </cell>
          <cell r="Z208" t="str">
            <v>8626</v>
          </cell>
          <cell r="AG208" t="str">
            <v>LOA - CARTA ACEPTACION</v>
          </cell>
          <cell r="AH208" t="str">
            <v>61/2026</v>
          </cell>
        </row>
        <row r="209">
          <cell r="A209">
            <v>11626</v>
          </cell>
          <cell r="B209" t="str">
            <v>2026-03-03 00:00:00</v>
          </cell>
          <cell r="Q209" t="str">
            <v>811005902</v>
          </cell>
          <cell r="R209" t="str">
            <v>PORTATIL S.A.S.</v>
          </cell>
          <cell r="Z209" t="str">
            <v>8526</v>
          </cell>
          <cell r="AG209" t="str">
            <v>LOA - CARTA ACEPTACION</v>
          </cell>
          <cell r="AH209" t="str">
            <v>60/2026</v>
          </cell>
        </row>
        <row r="210">
          <cell r="A210">
            <v>11726</v>
          </cell>
          <cell r="B210" t="str">
            <v>2026-03-04 00:00:00</v>
          </cell>
          <cell r="Q210" t="str">
            <v>34558930</v>
          </cell>
          <cell r="R210" t="str">
            <v>MUÑOZ GOMEZ ANDREA BEATRIZ EUGENIA</v>
          </cell>
          <cell r="Z210" t="str">
            <v>7726</v>
          </cell>
          <cell r="AG210" t="str">
            <v>ACTA</v>
          </cell>
          <cell r="AH210" t="str">
            <v>1554/2026</v>
          </cell>
        </row>
        <row r="211">
          <cell r="A211">
            <v>11826</v>
          </cell>
          <cell r="B211" t="str">
            <v>2026-03-04 00:00:00</v>
          </cell>
          <cell r="Q211" t="str">
            <v>10143555</v>
          </cell>
          <cell r="R211" t="str">
            <v>VERA SANCHEZ MAURICIO</v>
          </cell>
          <cell r="Z211" t="str">
            <v>7726</v>
          </cell>
          <cell r="AG211" t="str">
            <v>ACTA</v>
          </cell>
          <cell r="AH211" t="str">
            <v>1554/2026</v>
          </cell>
        </row>
        <row r="212">
          <cell r="A212">
            <v>11926</v>
          </cell>
          <cell r="B212" t="str">
            <v>2026-03-04 00:00:00</v>
          </cell>
          <cell r="Q212" t="str">
            <v>79459578</v>
          </cell>
          <cell r="R212" t="str">
            <v>CONTRERAS FUSET SADI ALFONSO</v>
          </cell>
          <cell r="Z212" t="str">
            <v>7726</v>
          </cell>
          <cell r="AG212" t="str">
            <v>ACTA</v>
          </cell>
          <cell r="AH212" t="str">
            <v>1554/2026</v>
          </cell>
        </row>
        <row r="213">
          <cell r="A213">
            <v>12026</v>
          </cell>
          <cell r="B213" t="str">
            <v>2026-03-04 00:00:00</v>
          </cell>
          <cell r="Q213" t="str">
            <v>1128047454</v>
          </cell>
          <cell r="R213" t="str">
            <v>DIAZ SUAZA FELIPE AUGUSTO</v>
          </cell>
          <cell r="Z213" t="str">
            <v>7726</v>
          </cell>
          <cell r="AG213" t="str">
            <v>ACTA</v>
          </cell>
          <cell r="AH213" t="str">
            <v>1554/2026</v>
          </cell>
        </row>
        <row r="214">
          <cell r="A214">
            <v>12126</v>
          </cell>
          <cell r="B214" t="str">
            <v>2026-03-04 00:00:00</v>
          </cell>
          <cell r="Q214" t="str">
            <v>65717122</v>
          </cell>
          <cell r="R214" t="str">
            <v>BUSTAMANTE OSORIO CLAUDIA XIMENA</v>
          </cell>
          <cell r="Z214" t="str">
            <v>7726</v>
          </cell>
          <cell r="AG214" t="str">
            <v>ACTA</v>
          </cell>
          <cell r="AH214" t="str">
            <v>1554/2026</v>
          </cell>
        </row>
        <row r="215">
          <cell r="A215">
            <v>12226</v>
          </cell>
          <cell r="B215" t="str">
            <v>2026-03-04 00:00:00</v>
          </cell>
          <cell r="Q215" t="str">
            <v>52249730</v>
          </cell>
          <cell r="R215" t="str">
            <v>DUQUE DEL VECCHIO LINA</v>
          </cell>
          <cell r="Z215" t="str">
            <v>7726</v>
          </cell>
          <cell r="AG215" t="str">
            <v>ACTA</v>
          </cell>
          <cell r="AH215" t="str">
            <v>1554/2026</v>
          </cell>
        </row>
        <row r="216">
          <cell r="A216">
            <v>12326</v>
          </cell>
          <cell r="B216" t="str">
            <v>2026-03-04 00:00:00</v>
          </cell>
          <cell r="Q216" t="str">
            <v>79591976</v>
          </cell>
          <cell r="R216" t="str">
            <v>GUTIERREZ AFANADOR JAVIER</v>
          </cell>
          <cell r="Z216" t="str">
            <v>7726</v>
          </cell>
          <cell r="AG216" t="str">
            <v>ACTA</v>
          </cell>
          <cell r="AH216" t="str">
            <v>1554/2026</v>
          </cell>
        </row>
        <row r="217">
          <cell r="A217">
            <v>12426</v>
          </cell>
          <cell r="B217" t="str">
            <v>2026-03-04 00:00:00</v>
          </cell>
          <cell r="Q217" t="str">
            <v>46360403</v>
          </cell>
          <cell r="R217" t="str">
            <v>VARGAS MESA ZOILA CONSUELO</v>
          </cell>
          <cell r="Z217" t="str">
            <v>7726</v>
          </cell>
          <cell r="AG217" t="str">
            <v>ACTA</v>
          </cell>
          <cell r="AH217" t="str">
            <v>1554/2026</v>
          </cell>
        </row>
        <row r="218">
          <cell r="A218">
            <v>12526</v>
          </cell>
          <cell r="B218" t="str">
            <v>2026-03-04 00:00:00</v>
          </cell>
          <cell r="Q218" t="str">
            <v>52862292</v>
          </cell>
          <cell r="R218" t="str">
            <v>SARMIENTO ARGUELLO MARIANA</v>
          </cell>
          <cell r="Z218" t="str">
            <v>7726</v>
          </cell>
          <cell r="AG218" t="str">
            <v>ACTA</v>
          </cell>
          <cell r="AH218" t="str">
            <v>1554/2026</v>
          </cell>
        </row>
        <row r="219">
          <cell r="A219">
            <v>12626</v>
          </cell>
          <cell r="B219" t="str">
            <v>2026-03-04 00:00:00</v>
          </cell>
          <cell r="Q219" t="str">
            <v>1016026843</v>
          </cell>
          <cell r="R219" t="str">
            <v>BUSTAMANTE GOMEZ CAMILO ALFREDO</v>
          </cell>
          <cell r="Z219" t="str">
            <v>7726</v>
          </cell>
          <cell r="AG219" t="str">
            <v>ACTA</v>
          </cell>
          <cell r="AH219" t="str">
            <v>1554/2026</v>
          </cell>
        </row>
        <row r="220">
          <cell r="A220">
            <v>12726</v>
          </cell>
          <cell r="B220" t="str">
            <v>2026-03-04 00:00:00</v>
          </cell>
          <cell r="Q220" t="str">
            <v>92541020</v>
          </cell>
          <cell r="R220" t="str">
            <v>DURAN DAJUD MIGUEL ANDRES</v>
          </cell>
          <cell r="Z220" t="str">
            <v>7726</v>
          </cell>
          <cell r="AG220" t="str">
            <v>ACTA</v>
          </cell>
          <cell r="AH220" t="str">
            <v>1554/2026</v>
          </cell>
        </row>
        <row r="221">
          <cell r="A221">
            <v>12826</v>
          </cell>
          <cell r="B221" t="str">
            <v>2026-03-05 00:00:00</v>
          </cell>
          <cell r="Q221" t="str">
            <v>811005902</v>
          </cell>
          <cell r="R221" t="str">
            <v>PORTATIL S.A.S.</v>
          </cell>
          <cell r="Z221" t="str">
            <v>8826</v>
          </cell>
          <cell r="AG221" t="str">
            <v>LOA - CARTA ACEPTACION</v>
          </cell>
          <cell r="AH221" t="str">
            <v>62/2026</v>
          </cell>
        </row>
        <row r="222">
          <cell r="A222">
            <v>12926</v>
          </cell>
          <cell r="B222" t="str">
            <v>2026-03-05 00:00:00</v>
          </cell>
          <cell r="Q222" t="str">
            <v>900516872</v>
          </cell>
          <cell r="R222" t="str">
            <v>EDIFICIO LINK 7-60</v>
          </cell>
          <cell r="Z222" t="str">
            <v>126</v>
          </cell>
          <cell r="AG222" t="str">
            <v>FACTURA</v>
          </cell>
          <cell r="AH222" t="str">
            <v>LK7575</v>
          </cell>
        </row>
        <row r="223">
          <cell r="A223">
            <v>13026</v>
          </cell>
          <cell r="B223" t="str">
            <v>2026-03-09 00:00:00</v>
          </cell>
          <cell r="Q223" t="str">
            <v>830065445</v>
          </cell>
          <cell r="R223" t="str">
            <v>FLT COMUNICACIONES S.A.S.</v>
          </cell>
          <cell r="Z223" t="str">
            <v>8726</v>
          </cell>
          <cell r="AG223" t="str">
            <v>LOA - CARTA ACEPTACION</v>
          </cell>
          <cell r="AH223" t="str">
            <v>64/2026</v>
          </cell>
        </row>
        <row r="224">
          <cell r="A224">
            <v>13126</v>
          </cell>
          <cell r="B224" t="str">
            <v>2026-03-09 00:00:00</v>
          </cell>
          <cell r="Q224" t="str">
            <v>901081283</v>
          </cell>
          <cell r="R224" t="str">
            <v>BICODE SAS</v>
          </cell>
          <cell r="Z224" t="str">
            <v>9226</v>
          </cell>
          <cell r="AG224" t="str">
            <v>LOA - CARTA ACEPTACION</v>
          </cell>
          <cell r="AH224" t="str">
            <v>63/2026</v>
          </cell>
        </row>
        <row r="225">
          <cell r="A225">
            <v>13226</v>
          </cell>
          <cell r="B225" t="str">
            <v>2026-03-13 00:00:00</v>
          </cell>
          <cell r="Q225" t="str">
            <v>65717122</v>
          </cell>
          <cell r="R225" t="str">
            <v>BUSTAMANTE OSORIO CLAUDIA XIMENA</v>
          </cell>
          <cell r="Z225" t="str">
            <v>9626</v>
          </cell>
          <cell r="AG225" t="str">
            <v>OTRAS AUTORIZACIONES ESPECIALES</v>
          </cell>
          <cell r="AH225" t="str">
            <v>133781/2026</v>
          </cell>
        </row>
        <row r="226">
          <cell r="A226">
            <v>13326</v>
          </cell>
          <cell r="B226" t="str">
            <v>2026-03-13 00:00:00</v>
          </cell>
          <cell r="Q226" t="str">
            <v>1128047454</v>
          </cell>
          <cell r="R226" t="str">
            <v>DIAZ SUAZA FELIPE AUGUSTO</v>
          </cell>
          <cell r="Z226" t="str">
            <v>10726</v>
          </cell>
          <cell r="AG226" t="str">
            <v>OTRAS AUTORIZACIONES ESPECIALES</v>
          </cell>
          <cell r="AH226" t="str">
            <v>134237/2026</v>
          </cell>
        </row>
        <row r="227">
          <cell r="A227">
            <v>13426</v>
          </cell>
          <cell r="B227" t="str">
            <v>2026-03-13 00:00:00</v>
          </cell>
          <cell r="Q227" t="str">
            <v>79591976</v>
          </cell>
          <cell r="R227" t="str">
            <v>GUTIERREZ AFANADOR JAVIER</v>
          </cell>
          <cell r="Z227" t="str">
            <v>9726</v>
          </cell>
          <cell r="AG227" t="str">
            <v>OTRAS AUTORIZACIONES ESPECIALES</v>
          </cell>
          <cell r="AH227" t="str">
            <v>133784/2026</v>
          </cell>
        </row>
        <row r="228">
          <cell r="A228">
            <v>13526</v>
          </cell>
          <cell r="B228" t="str">
            <v>2026-03-13 00:00:00</v>
          </cell>
          <cell r="Q228" t="str">
            <v>34558930</v>
          </cell>
          <cell r="R228" t="str">
            <v>MUÑOZ GOMEZ ANDREA BEATRIZ EUGENIA</v>
          </cell>
          <cell r="Z228" t="str">
            <v>9826</v>
          </cell>
          <cell r="AG228" t="str">
            <v>OTRAS AUTORIZACIONES ESPECIALES</v>
          </cell>
          <cell r="AH228" t="str">
            <v>133811/2026</v>
          </cell>
        </row>
        <row r="229">
          <cell r="A229">
            <v>13626</v>
          </cell>
          <cell r="B229" t="str">
            <v>2026-03-16 00:00:00</v>
          </cell>
          <cell r="Q229" t="str">
            <v>900192835</v>
          </cell>
          <cell r="R229" t="str">
            <v>PANTOGLOT LTDA</v>
          </cell>
          <cell r="Z229" t="str">
            <v>10126</v>
          </cell>
          <cell r="AG229" t="str">
            <v>LOA - CARTA ACEPTACION</v>
          </cell>
          <cell r="AH229" t="str">
            <v>65/2026</v>
          </cell>
        </row>
        <row r="230">
          <cell r="A230">
            <v>13726</v>
          </cell>
          <cell r="B230" t="str">
            <v>2026-03-18 00:00:00</v>
          </cell>
          <cell r="Q230" t="str">
            <v>830002593</v>
          </cell>
          <cell r="R230" t="str">
            <v>COMISION DE REGULACION DE COMUNICACIONES</v>
          </cell>
          <cell r="Z230" t="str">
            <v>326</v>
          </cell>
          <cell r="AG230" t="str">
            <v>NOMINA</v>
          </cell>
          <cell r="AH230" t="str">
            <v>MARZO/2026</v>
          </cell>
        </row>
        <row r="231">
          <cell r="A231">
            <v>13726</v>
          </cell>
          <cell r="B231" t="str">
            <v>2026-03-18 00:00:00</v>
          </cell>
          <cell r="Q231" t="str">
            <v>830002593</v>
          </cell>
          <cell r="R231" t="str">
            <v>COMISION DE REGULACION DE COMUNICACIONES</v>
          </cell>
          <cell r="Z231" t="str">
            <v>326</v>
          </cell>
          <cell r="AG231" t="str">
            <v>NOMINA</v>
          </cell>
          <cell r="AH231" t="str">
            <v>MARZO/2026</v>
          </cell>
        </row>
        <row r="232">
          <cell r="A232">
            <v>13726</v>
          </cell>
          <cell r="B232" t="str">
            <v>2026-03-18 00:00:00</v>
          </cell>
          <cell r="Q232" t="str">
            <v>830002593</v>
          </cell>
          <cell r="R232" t="str">
            <v>COMISION DE REGULACION DE COMUNICACIONES</v>
          </cell>
          <cell r="Z232" t="str">
            <v>326</v>
          </cell>
          <cell r="AG232" t="str">
            <v>NOMINA</v>
          </cell>
          <cell r="AH232" t="str">
            <v>MARZO/2026</v>
          </cell>
        </row>
        <row r="233">
          <cell r="A233">
            <v>13726</v>
          </cell>
          <cell r="B233" t="str">
            <v>2026-03-18 00:00:00</v>
          </cell>
          <cell r="Q233" t="str">
            <v>830002593</v>
          </cell>
          <cell r="R233" t="str">
            <v>COMISION DE REGULACION DE COMUNICACIONES</v>
          </cell>
          <cell r="Z233" t="str">
            <v>326</v>
          </cell>
          <cell r="AG233" t="str">
            <v>NOMINA</v>
          </cell>
          <cell r="AH233" t="str">
            <v>MARZO/2026</v>
          </cell>
        </row>
        <row r="234">
          <cell r="A234">
            <v>13726</v>
          </cell>
          <cell r="B234" t="str">
            <v>2026-03-18 00:00:00</v>
          </cell>
          <cell r="Q234" t="str">
            <v>830002593</v>
          </cell>
          <cell r="R234" t="str">
            <v>COMISION DE REGULACION DE COMUNICACIONES</v>
          </cell>
          <cell r="Z234" t="str">
            <v>326</v>
          </cell>
          <cell r="AG234" t="str">
            <v>NOMINA</v>
          </cell>
          <cell r="AH234" t="str">
            <v>MARZO/2026</v>
          </cell>
        </row>
        <row r="235">
          <cell r="A235">
            <v>13726</v>
          </cell>
          <cell r="B235" t="str">
            <v>2026-03-18 00:00:00</v>
          </cell>
          <cell r="Q235" t="str">
            <v>830002593</v>
          </cell>
          <cell r="R235" t="str">
            <v>COMISION DE REGULACION DE COMUNICACIONES</v>
          </cell>
          <cell r="Z235" t="str">
            <v>326</v>
          </cell>
          <cell r="AG235" t="str">
            <v>NOMINA</v>
          </cell>
          <cell r="AH235" t="str">
            <v>MARZO/2026</v>
          </cell>
        </row>
        <row r="236">
          <cell r="A236">
            <v>13726</v>
          </cell>
          <cell r="B236" t="str">
            <v>2026-03-18 00:00:00</v>
          </cell>
          <cell r="Q236" t="str">
            <v>830002593</v>
          </cell>
          <cell r="R236" t="str">
            <v>COMISION DE REGULACION DE COMUNICACIONES</v>
          </cell>
          <cell r="Z236" t="str">
            <v>326</v>
          </cell>
          <cell r="AG236" t="str">
            <v>NOMINA</v>
          </cell>
          <cell r="AH236" t="str">
            <v>MARZO/2026</v>
          </cell>
        </row>
        <row r="237">
          <cell r="A237">
            <v>13726</v>
          </cell>
          <cell r="B237" t="str">
            <v>2026-03-18 00:00:00</v>
          </cell>
          <cell r="Q237" t="str">
            <v>830002593</v>
          </cell>
          <cell r="R237" t="str">
            <v>COMISION DE REGULACION DE COMUNICACIONES</v>
          </cell>
          <cell r="Z237" t="str">
            <v>326</v>
          </cell>
          <cell r="AG237" t="str">
            <v>NOMINA</v>
          </cell>
          <cell r="AH237" t="str">
            <v>MARZO/2026</v>
          </cell>
        </row>
        <row r="238">
          <cell r="A238">
            <v>13726</v>
          </cell>
          <cell r="B238" t="str">
            <v>2026-03-18 00:00:00</v>
          </cell>
          <cell r="Q238" t="str">
            <v>830002593</v>
          </cell>
          <cell r="R238" t="str">
            <v>COMISION DE REGULACION DE COMUNICACIONES</v>
          </cell>
          <cell r="Z238" t="str">
            <v>326</v>
          </cell>
          <cell r="AG238" t="str">
            <v>NOMINA</v>
          </cell>
          <cell r="AH238" t="str">
            <v>MARZO/2026</v>
          </cell>
        </row>
        <row r="239">
          <cell r="A239">
            <v>13726</v>
          </cell>
          <cell r="B239" t="str">
            <v>2026-03-18 00:00:00</v>
          </cell>
          <cell r="Q239" t="str">
            <v>830002593</v>
          </cell>
          <cell r="R239" t="str">
            <v>COMISION DE REGULACION DE COMUNICACIONES</v>
          </cell>
          <cell r="Z239" t="str">
            <v>326</v>
          </cell>
          <cell r="AG239" t="str">
            <v>NOMINA</v>
          </cell>
          <cell r="AH239" t="str">
            <v>MARZO/2026</v>
          </cell>
        </row>
        <row r="240">
          <cell r="A240">
            <v>13726</v>
          </cell>
          <cell r="B240" t="str">
            <v>2026-03-18 00:00:00</v>
          </cell>
          <cell r="Q240" t="str">
            <v>830002593</v>
          </cell>
          <cell r="R240" t="str">
            <v>COMISION DE REGULACION DE COMUNICACIONES</v>
          </cell>
          <cell r="Z240" t="str">
            <v>326</v>
          </cell>
          <cell r="AG240" t="str">
            <v>NOMINA</v>
          </cell>
          <cell r="AH240" t="str">
            <v>MARZO/2026</v>
          </cell>
        </row>
        <row r="241">
          <cell r="A241">
            <v>13726</v>
          </cell>
          <cell r="B241" t="str">
            <v>2026-03-18 00:00:00</v>
          </cell>
          <cell r="Q241" t="str">
            <v>830002593</v>
          </cell>
          <cell r="R241" t="str">
            <v>COMISION DE REGULACION DE COMUNICACIONES</v>
          </cell>
          <cell r="Z241" t="str">
            <v>326</v>
          </cell>
          <cell r="AG241" t="str">
            <v>NOMINA</v>
          </cell>
          <cell r="AH241" t="str">
            <v>MARZO/2026</v>
          </cell>
        </row>
        <row r="242">
          <cell r="A242">
            <v>13726</v>
          </cell>
          <cell r="B242" t="str">
            <v>2026-03-18 00:00:00</v>
          </cell>
          <cell r="Q242" t="str">
            <v>830002593</v>
          </cell>
          <cell r="R242" t="str">
            <v>COMISION DE REGULACION DE COMUNICACIONES</v>
          </cell>
          <cell r="Z242" t="str">
            <v>326</v>
          </cell>
          <cell r="AG242" t="str">
            <v>NOMINA</v>
          </cell>
          <cell r="AH242" t="str">
            <v>MARZO/2026</v>
          </cell>
        </row>
        <row r="243">
          <cell r="A243">
            <v>13726</v>
          </cell>
          <cell r="B243" t="str">
            <v>2026-03-18 00:00:00</v>
          </cell>
          <cell r="Q243" t="str">
            <v>830002593</v>
          </cell>
          <cell r="R243" t="str">
            <v>COMISION DE REGULACION DE COMUNICACIONES</v>
          </cell>
          <cell r="Z243" t="str">
            <v>326</v>
          </cell>
          <cell r="AG243" t="str">
            <v>NOMINA</v>
          </cell>
          <cell r="AH243" t="str">
            <v>MARZO/2026</v>
          </cell>
        </row>
        <row r="244">
          <cell r="A244">
            <v>13726</v>
          </cell>
          <cell r="B244" t="str">
            <v>2026-03-18 00:00:00</v>
          </cell>
          <cell r="Q244" t="str">
            <v>830002593</v>
          </cell>
          <cell r="R244" t="str">
            <v>COMISION DE REGULACION DE COMUNICACIONES</v>
          </cell>
          <cell r="Z244" t="str">
            <v>326</v>
          </cell>
          <cell r="AG244" t="str">
            <v>NOMINA</v>
          </cell>
          <cell r="AH244" t="str">
            <v>MARZO/2026</v>
          </cell>
        </row>
        <row r="245">
          <cell r="A245">
            <v>13826</v>
          </cell>
          <cell r="B245" t="str">
            <v>2026-03-18 00:00:00</v>
          </cell>
          <cell r="Q245" t="str">
            <v>860002503</v>
          </cell>
          <cell r="R245" t="str">
            <v>COMPAÑIA DE SEGUROS BOLIVAR S A TAMBIEN PODRA GIRAR BAJO LA DENOMINACION SEGUROS BOLIVAR S A</v>
          </cell>
          <cell r="Z245" t="str">
            <v>7526</v>
          </cell>
          <cell r="AG245" t="str">
            <v>PLANILLA SEGURIDAD SOCIAL</v>
          </cell>
          <cell r="AH245" t="str">
            <v>84483224</v>
          </cell>
        </row>
        <row r="246">
          <cell r="A246">
            <v>13926</v>
          </cell>
          <cell r="B246" t="str">
            <v>2026-03-18 00:00:00</v>
          </cell>
          <cell r="Q246" t="str">
            <v>34558930</v>
          </cell>
          <cell r="R246" t="str">
            <v>MUÑOZ GOMEZ ANDREA BEATRIZ EUGENIA</v>
          </cell>
          <cell r="Z246" t="str">
            <v>7726</v>
          </cell>
          <cell r="AG246" t="str">
            <v>ACTA</v>
          </cell>
          <cell r="AH246" t="str">
            <v>1555/2026</v>
          </cell>
        </row>
        <row r="247">
          <cell r="A247">
            <v>14026</v>
          </cell>
          <cell r="B247" t="str">
            <v>2026-03-18 00:00:00</v>
          </cell>
          <cell r="Q247" t="str">
            <v>10143555</v>
          </cell>
          <cell r="R247" t="str">
            <v>VERA SANCHEZ MAURICIO</v>
          </cell>
          <cell r="Z247" t="str">
            <v>7726</v>
          </cell>
          <cell r="AG247" t="str">
            <v>ACTA</v>
          </cell>
          <cell r="AH247" t="str">
            <v>1555/2026</v>
          </cell>
        </row>
        <row r="248">
          <cell r="A248">
            <v>14126</v>
          </cell>
          <cell r="B248" t="str">
            <v>2026-03-18 00:00:00</v>
          </cell>
          <cell r="Q248" t="str">
            <v>79459578</v>
          </cell>
          <cell r="R248" t="str">
            <v>CONTRERAS FUSET SADI ALFONSO</v>
          </cell>
          <cell r="Z248" t="str">
            <v>7726</v>
          </cell>
          <cell r="AG248" t="str">
            <v>ACTA</v>
          </cell>
          <cell r="AH248" t="str">
            <v>1555/2026</v>
          </cell>
        </row>
        <row r="249">
          <cell r="A249">
            <v>14226</v>
          </cell>
          <cell r="B249" t="str">
            <v>2026-03-18 00:00:00</v>
          </cell>
          <cell r="Q249" t="str">
            <v>1128047454</v>
          </cell>
          <cell r="R249" t="str">
            <v>DIAZ SUAZA FELIPE AUGUSTO</v>
          </cell>
          <cell r="Z249" t="str">
            <v>7726</v>
          </cell>
          <cell r="AG249" t="str">
            <v>ACTA</v>
          </cell>
          <cell r="AH249" t="str">
            <v>1555/2026</v>
          </cell>
        </row>
        <row r="250">
          <cell r="A250">
            <v>14326</v>
          </cell>
          <cell r="B250" t="str">
            <v>2026-03-18 00:00:00</v>
          </cell>
          <cell r="Q250" t="str">
            <v>65717122</v>
          </cell>
          <cell r="R250" t="str">
            <v>BUSTAMANTE OSORIO CLAUDIA XIMENA</v>
          </cell>
          <cell r="Z250" t="str">
            <v>7726</v>
          </cell>
          <cell r="AG250" t="str">
            <v>ACTA</v>
          </cell>
          <cell r="AH250" t="str">
            <v>1555/2026</v>
          </cell>
        </row>
        <row r="251">
          <cell r="A251">
            <v>14426</v>
          </cell>
          <cell r="B251" t="str">
            <v>2026-03-18 00:00:00</v>
          </cell>
          <cell r="Q251" t="str">
            <v>52249730</v>
          </cell>
          <cell r="R251" t="str">
            <v>DUQUE DEL VECCHIO LINA</v>
          </cell>
          <cell r="Z251" t="str">
            <v>7726</v>
          </cell>
          <cell r="AG251" t="str">
            <v>ACTA</v>
          </cell>
          <cell r="AH251" t="str">
            <v>1555/2026</v>
          </cell>
        </row>
        <row r="252">
          <cell r="A252">
            <v>14526</v>
          </cell>
          <cell r="B252" t="str">
            <v>2026-03-18 00:00:00</v>
          </cell>
          <cell r="Q252" t="str">
            <v>79591976</v>
          </cell>
          <cell r="R252" t="str">
            <v>GUTIERREZ AFANADOR JAVIER</v>
          </cell>
          <cell r="Z252" t="str">
            <v>7726</v>
          </cell>
          <cell r="AG252" t="str">
            <v>ACTA</v>
          </cell>
          <cell r="AH252" t="str">
            <v>1555/2026</v>
          </cell>
        </row>
        <row r="253">
          <cell r="A253">
            <v>14626</v>
          </cell>
          <cell r="B253" t="str">
            <v>2026-03-18 00:00:00</v>
          </cell>
          <cell r="Q253" t="str">
            <v>46360403</v>
          </cell>
          <cell r="R253" t="str">
            <v>VARGAS MESA ZOILA CONSUELO</v>
          </cell>
          <cell r="Z253" t="str">
            <v>7726</v>
          </cell>
          <cell r="AG253" t="str">
            <v>ACTA</v>
          </cell>
          <cell r="AH253" t="str">
            <v>1555/2026</v>
          </cell>
        </row>
        <row r="254">
          <cell r="A254">
            <v>14726</v>
          </cell>
          <cell r="B254" t="str">
            <v>2026-03-18 00:00:00</v>
          </cell>
          <cell r="Q254" t="str">
            <v>52862292</v>
          </cell>
          <cell r="R254" t="str">
            <v>SARMIENTO ARGUELLO MARIANA</v>
          </cell>
          <cell r="Z254" t="str">
            <v>7726</v>
          </cell>
          <cell r="AG254" t="str">
            <v>ACTA</v>
          </cell>
          <cell r="AH254" t="str">
            <v>1555/2026</v>
          </cell>
        </row>
        <row r="255">
          <cell r="A255">
            <v>14826</v>
          </cell>
          <cell r="B255" t="str">
            <v>2026-03-18 00:00:00</v>
          </cell>
          <cell r="Q255" t="str">
            <v>1032417388</v>
          </cell>
          <cell r="R255" t="str">
            <v>QUINCHE PARRADO MELBA ROCIO</v>
          </cell>
          <cell r="Z255" t="str">
            <v>7726</v>
          </cell>
          <cell r="AG255" t="str">
            <v>ACTA</v>
          </cell>
          <cell r="AH255" t="str">
            <v>1555/2026</v>
          </cell>
        </row>
        <row r="256">
          <cell r="A256">
            <v>14926</v>
          </cell>
          <cell r="B256" t="str">
            <v>2026-03-18 00:00:00</v>
          </cell>
          <cell r="Q256" t="str">
            <v>1032481556</v>
          </cell>
          <cell r="R256" t="str">
            <v>ORJUELA RIVERA SANTIAGO JOSE</v>
          </cell>
          <cell r="Z256" t="str">
            <v>7726</v>
          </cell>
          <cell r="AG256" t="str">
            <v>ACTA</v>
          </cell>
          <cell r="AH256" t="str">
            <v>1555/2026</v>
          </cell>
        </row>
        <row r="257">
          <cell r="A257">
            <v>15026</v>
          </cell>
          <cell r="B257" t="str">
            <v>2026-03-18 00:00:00</v>
          </cell>
          <cell r="Q257" t="str">
            <v>1016026843</v>
          </cell>
          <cell r="R257" t="str">
            <v>BUSTAMANTE GOMEZ CAMILO ALFREDO</v>
          </cell>
          <cell r="Z257" t="str">
            <v>7726</v>
          </cell>
          <cell r="AG257" t="str">
            <v>ACTA</v>
          </cell>
          <cell r="AH257" t="str">
            <v>1555/2026</v>
          </cell>
        </row>
        <row r="258">
          <cell r="A258">
            <v>15126</v>
          </cell>
          <cell r="B258" t="str">
            <v>2026-03-18 00:00:00</v>
          </cell>
          <cell r="Q258" t="str">
            <v>1026264211</v>
          </cell>
          <cell r="R258" t="str">
            <v>SANDOVAL PEÑA VICTOR ANDRES</v>
          </cell>
          <cell r="Z258" t="str">
            <v>7726</v>
          </cell>
          <cell r="AG258" t="str">
            <v>ACTA</v>
          </cell>
          <cell r="AH258" t="str">
            <v>1555/2026</v>
          </cell>
        </row>
        <row r="259">
          <cell r="A259">
            <v>15226</v>
          </cell>
          <cell r="B259" t="str">
            <v>2026-03-18 00:00:00</v>
          </cell>
          <cell r="Q259" t="str">
            <v>1019105701</v>
          </cell>
          <cell r="R259" t="str">
            <v>BALDRICH MORA VICTOR ALONSO</v>
          </cell>
          <cell r="Z259" t="str">
            <v>7726</v>
          </cell>
          <cell r="AG259" t="str">
            <v>ACTA</v>
          </cell>
          <cell r="AH259" t="str">
            <v>1555/2026</v>
          </cell>
        </row>
        <row r="260">
          <cell r="A260">
            <v>15326</v>
          </cell>
          <cell r="B260" t="str">
            <v>2026-03-18 00:00:00</v>
          </cell>
          <cell r="Q260" t="str">
            <v>80816060</v>
          </cell>
          <cell r="R260" t="str">
            <v>BARBOSA PARRA ERIK ANDRES</v>
          </cell>
          <cell r="Z260" t="str">
            <v>7726</v>
          </cell>
          <cell r="AG260" t="str">
            <v>ACTA</v>
          </cell>
          <cell r="AH260" t="str">
            <v>1555/2026</v>
          </cell>
        </row>
        <row r="261">
          <cell r="A261">
            <v>15426</v>
          </cell>
          <cell r="B261" t="str">
            <v>2026-03-18 00:00:00</v>
          </cell>
          <cell r="Q261" t="str">
            <v>1136883773</v>
          </cell>
          <cell r="R261" t="str">
            <v>ESPEJO SILVA ERICK FRANCKS</v>
          </cell>
          <cell r="Z261" t="str">
            <v>7726</v>
          </cell>
          <cell r="AG261" t="str">
            <v>ACTA</v>
          </cell>
          <cell r="AH261" t="str">
            <v>1555/2026</v>
          </cell>
        </row>
        <row r="262">
          <cell r="A262">
            <v>15526</v>
          </cell>
          <cell r="B262" t="str">
            <v>2026-03-19 00:00:00</v>
          </cell>
          <cell r="Q262" t="str">
            <v>1026264211</v>
          </cell>
          <cell r="R262" t="str">
            <v>SANDOVAL PEÑA VICTOR ANDRES</v>
          </cell>
          <cell r="Z262" t="str">
            <v>7726</v>
          </cell>
          <cell r="AG262" t="str">
            <v>ACTA</v>
          </cell>
          <cell r="AH262" t="str">
            <v>1555/2026</v>
          </cell>
        </row>
        <row r="263">
          <cell r="A263">
            <v>15626</v>
          </cell>
          <cell r="B263" t="str">
            <v>2026-03-24 00:00:00</v>
          </cell>
          <cell r="Q263" t="str">
            <v>900810365</v>
          </cell>
          <cell r="R263" t="str">
            <v>JVALE INGENIERIA S.A.S</v>
          </cell>
          <cell r="Z263" t="str">
            <v>10426</v>
          </cell>
          <cell r="AG263" t="str">
            <v>LOA - CARTA ACEPTACION</v>
          </cell>
          <cell r="AH263" t="str">
            <v>66/2026</v>
          </cell>
        </row>
        <row r="264">
          <cell r="A264">
            <v>15726</v>
          </cell>
          <cell r="B264" t="str">
            <v>2026-03-24 00:00:00</v>
          </cell>
          <cell r="Q264" t="str">
            <v>830002593</v>
          </cell>
          <cell r="R264" t="str">
            <v>COMISION DE REGULACION DE COMUNICACIONES</v>
          </cell>
          <cell r="Z264" t="str">
            <v>11226</v>
          </cell>
          <cell r="AG264" t="str">
            <v>RESOLUCION</v>
          </cell>
          <cell r="AH264" t="str">
            <v>142/2026</v>
          </cell>
        </row>
        <row r="265">
          <cell r="A265">
            <v>15726</v>
          </cell>
          <cell r="B265" t="str">
            <v>2026-03-24 00:00:00</v>
          </cell>
          <cell r="Q265" t="str">
            <v>830002593</v>
          </cell>
          <cell r="R265" t="str">
            <v>COMISION DE REGULACION DE COMUNICACIONES</v>
          </cell>
          <cell r="Z265" t="str">
            <v>11226</v>
          </cell>
          <cell r="AG265" t="str">
            <v>RESOLUCION</v>
          </cell>
          <cell r="AH265" t="str">
            <v>142/2026</v>
          </cell>
        </row>
        <row r="266">
          <cell r="A266">
            <v>15726</v>
          </cell>
          <cell r="B266" t="str">
            <v>2026-03-24 00:00:00</v>
          </cell>
          <cell r="Q266" t="str">
            <v>830002593</v>
          </cell>
          <cell r="R266" t="str">
            <v>COMISION DE REGULACION DE COMUNICACIONES</v>
          </cell>
          <cell r="Z266" t="str">
            <v>11226</v>
          </cell>
          <cell r="AG266" t="str">
            <v>RESOLUCION</v>
          </cell>
          <cell r="AH266" t="str">
            <v>142/2026</v>
          </cell>
        </row>
        <row r="267">
          <cell r="A267">
            <v>15726</v>
          </cell>
          <cell r="B267" t="str">
            <v>2026-03-24 00:00:00</v>
          </cell>
          <cell r="Q267" t="str">
            <v>830002593</v>
          </cell>
          <cell r="R267" t="str">
            <v>COMISION DE REGULACION DE COMUNICACIONES</v>
          </cell>
          <cell r="Z267" t="str">
            <v>11226</v>
          </cell>
          <cell r="AG267" t="str">
            <v>RESOLUCION</v>
          </cell>
          <cell r="AH267" t="str">
            <v>142/2026</v>
          </cell>
        </row>
        <row r="268">
          <cell r="A268">
            <v>15826</v>
          </cell>
          <cell r="B268" t="str">
            <v>2026-03-25 00:00:00</v>
          </cell>
          <cell r="Q268" t="str">
            <v>899999284</v>
          </cell>
          <cell r="R268" t="str">
            <v>FONDO NACIONAL DEL AHORRO S.A.</v>
          </cell>
          <cell r="Z268" t="str">
            <v>426</v>
          </cell>
          <cell r="AG268" t="str">
            <v>NOMINA</v>
          </cell>
          <cell r="AH268" t="str">
            <v>MARZO/2026</v>
          </cell>
        </row>
        <row r="269">
          <cell r="A269">
            <v>15926</v>
          </cell>
          <cell r="B269" t="str">
            <v>2026-03-25 00:00:00</v>
          </cell>
          <cell r="Q269" t="str">
            <v>830002593</v>
          </cell>
          <cell r="R269" t="str">
            <v>COMISION DE REGULACION DE COMUNICACIONES</v>
          </cell>
          <cell r="Z269" t="str">
            <v>426</v>
          </cell>
          <cell r="AG269" t="str">
            <v>NOMINA</v>
          </cell>
          <cell r="AH269" t="str">
            <v>MARZO 2026</v>
          </cell>
        </row>
        <row r="270">
          <cell r="A270">
            <v>15926</v>
          </cell>
          <cell r="B270" t="str">
            <v>2026-03-25 00:00:00</v>
          </cell>
          <cell r="Q270" t="str">
            <v>830002593</v>
          </cell>
          <cell r="R270" t="str">
            <v>COMISION DE REGULACION DE COMUNICACIONES</v>
          </cell>
          <cell r="Z270" t="str">
            <v>426</v>
          </cell>
          <cell r="AG270" t="str">
            <v>NOMINA</v>
          </cell>
          <cell r="AH270" t="str">
            <v>MARZO 2026</v>
          </cell>
        </row>
        <row r="271">
          <cell r="A271">
            <v>15926</v>
          </cell>
          <cell r="B271" t="str">
            <v>2026-03-25 00:00:00</v>
          </cell>
          <cell r="Q271" t="str">
            <v>830002593</v>
          </cell>
          <cell r="R271" t="str">
            <v>COMISION DE REGULACION DE COMUNICACIONES</v>
          </cell>
          <cell r="Z271" t="str">
            <v>426</v>
          </cell>
          <cell r="AG271" t="str">
            <v>NOMINA</v>
          </cell>
          <cell r="AH271" t="str">
            <v>MARZO 2026</v>
          </cell>
        </row>
        <row r="272">
          <cell r="A272">
            <v>15926</v>
          </cell>
          <cell r="B272" t="str">
            <v>2026-03-25 00:00:00</v>
          </cell>
          <cell r="Q272" t="str">
            <v>830002593</v>
          </cell>
          <cell r="R272" t="str">
            <v>COMISION DE REGULACION DE COMUNICACIONES</v>
          </cell>
          <cell r="Z272" t="str">
            <v>426</v>
          </cell>
          <cell r="AG272" t="str">
            <v>NOMINA</v>
          </cell>
          <cell r="AH272" t="str">
            <v>MARZO 2026</v>
          </cell>
        </row>
        <row r="273">
          <cell r="A273">
            <v>15926</v>
          </cell>
          <cell r="B273" t="str">
            <v>2026-03-25 00:00:00</v>
          </cell>
          <cell r="Q273" t="str">
            <v>830002593</v>
          </cell>
          <cell r="R273" t="str">
            <v>COMISION DE REGULACION DE COMUNICACIONES</v>
          </cell>
          <cell r="Z273" t="str">
            <v>426</v>
          </cell>
          <cell r="AG273" t="str">
            <v>NOMINA</v>
          </cell>
          <cell r="AH273" t="str">
            <v>MARZO 2026</v>
          </cell>
        </row>
        <row r="274">
          <cell r="A274">
            <v>15926</v>
          </cell>
          <cell r="B274" t="str">
            <v>2026-03-25 00:00:00</v>
          </cell>
          <cell r="Q274" t="str">
            <v>830002593</v>
          </cell>
          <cell r="R274" t="str">
            <v>COMISION DE REGULACION DE COMUNICACIONES</v>
          </cell>
          <cell r="Z274" t="str">
            <v>426</v>
          </cell>
          <cell r="AG274" t="str">
            <v>NOMINA</v>
          </cell>
          <cell r="AH274" t="str">
            <v>MARZO 2026</v>
          </cell>
        </row>
        <row r="275">
          <cell r="A275">
            <v>16026</v>
          </cell>
          <cell r="B275" t="str">
            <v>2026-03-25 00:00:00</v>
          </cell>
          <cell r="Q275" t="str">
            <v>800153993</v>
          </cell>
          <cell r="R275" t="str">
            <v>COMUNICACION CELULAR S A COMCEL S A</v>
          </cell>
          <cell r="Z275" t="str">
            <v>10226</v>
          </cell>
          <cell r="AG275" t="str">
            <v>ORDEN DE COMPRA</v>
          </cell>
          <cell r="AH275" t="str">
            <v>162532/2026</v>
          </cell>
        </row>
        <row r="276">
          <cell r="A276">
            <v>16126</v>
          </cell>
          <cell r="B276" t="str">
            <v>2026-03-25 00:00:00</v>
          </cell>
          <cell r="Q276" t="str">
            <v>901148057</v>
          </cell>
          <cell r="R276" t="str">
            <v>INTERGLOBAL SERVICIOS COLOMBIA S.A.S.</v>
          </cell>
          <cell r="Z276" t="str">
            <v>10026</v>
          </cell>
          <cell r="AG276" t="str">
            <v>ACTA</v>
          </cell>
          <cell r="AH276" t="str">
            <v>01/26 COMITE BIENESTAR</v>
          </cell>
        </row>
        <row r="277">
          <cell r="A277">
            <v>16226</v>
          </cell>
          <cell r="B277" t="str">
            <v>2026-03-25 00:00:00</v>
          </cell>
          <cell r="Q277" t="str">
            <v>13747812</v>
          </cell>
          <cell r="R277" t="str">
            <v>DELGADO CASTILLO WILVER HERIBERTO</v>
          </cell>
          <cell r="Z277" t="str">
            <v>10026</v>
          </cell>
          <cell r="AG277" t="str">
            <v>ACTA</v>
          </cell>
          <cell r="AH277" t="str">
            <v>01/2026 COMITE DE BIENESTAR</v>
          </cell>
        </row>
        <row r="278">
          <cell r="A278">
            <v>16326</v>
          </cell>
          <cell r="B278" t="str">
            <v>2026-03-27 00:00:00</v>
          </cell>
          <cell r="Q278" t="str">
            <v>800197268</v>
          </cell>
          <cell r="R278" t="str">
            <v>U.A.E. DIRECCION DE IMPUESTOS Y ADUANAS NACIONALES</v>
          </cell>
          <cell r="Z278" t="str">
            <v>11526</v>
          </cell>
          <cell r="AG278" t="str">
            <v>SOLICITUD</v>
          </cell>
          <cell r="AH278" t="str">
            <v>TESORERIA CRC</v>
          </cell>
        </row>
        <row r="279">
          <cell r="A279">
            <v>16326</v>
          </cell>
          <cell r="B279" t="str">
            <v>2026-03-27 00:00:00</v>
          </cell>
          <cell r="Q279" t="str">
            <v>800197268</v>
          </cell>
          <cell r="R279" t="str">
            <v>U.A.E. DIRECCION DE IMPUESTOS Y ADUANAS NACIONALES</v>
          </cell>
          <cell r="Z279" t="str">
            <v>11526</v>
          </cell>
          <cell r="AG279" t="str">
            <v>SOLICITUD</v>
          </cell>
          <cell r="AH279" t="str">
            <v>TESORERIA CRC</v>
          </cell>
        </row>
        <row r="280">
          <cell r="A280">
            <v>16326</v>
          </cell>
          <cell r="B280" t="str">
            <v>2026-03-27 00:00:00</v>
          </cell>
          <cell r="Q280" t="str">
            <v>800197268</v>
          </cell>
          <cell r="R280" t="str">
            <v>U.A.E. DIRECCION DE IMPUESTOS Y ADUANAS NACIONALES</v>
          </cell>
          <cell r="Z280" t="str">
            <v>11526</v>
          </cell>
          <cell r="AG280" t="str">
            <v>SOLICITUD</v>
          </cell>
          <cell r="AH280" t="str">
            <v>TESORERIA CRC</v>
          </cell>
        </row>
        <row r="281">
          <cell r="A281">
            <v>16326</v>
          </cell>
          <cell r="B281" t="str">
            <v>2026-03-27 00:00:00</v>
          </cell>
          <cell r="Q281" t="str">
            <v>800197268</v>
          </cell>
          <cell r="R281" t="str">
            <v>U.A.E. DIRECCION DE IMPUESTOS Y ADUANAS NACIONALES</v>
          </cell>
          <cell r="Z281" t="str">
            <v>11526</v>
          </cell>
          <cell r="AG281" t="str">
            <v>SOLICITUD</v>
          </cell>
          <cell r="AH281" t="str">
            <v>TESORERIA CRC</v>
          </cell>
        </row>
        <row r="282">
          <cell r="A282">
            <v>16326</v>
          </cell>
          <cell r="B282" t="str">
            <v>2026-03-27 00:00:00</v>
          </cell>
          <cell r="Q282" t="str">
            <v>800197268</v>
          </cell>
          <cell r="R282" t="str">
            <v>U.A.E. DIRECCION DE IMPUESTOS Y ADUANAS NACIONALES</v>
          </cell>
          <cell r="Z282" t="str">
            <v>11526</v>
          </cell>
          <cell r="AG282" t="str">
            <v>SOLICITUD</v>
          </cell>
          <cell r="AH282" t="str">
            <v>TESORERIA CRC</v>
          </cell>
        </row>
        <row r="283">
          <cell r="A283">
            <v>16326</v>
          </cell>
          <cell r="B283" t="str">
            <v>2026-03-27 00:00:00</v>
          </cell>
          <cell r="Q283" t="str">
            <v>800197268</v>
          </cell>
          <cell r="R283" t="str">
            <v>U.A.E. DIRECCION DE IMPUESTOS Y ADUANAS NACIONALES</v>
          </cell>
          <cell r="Z283" t="str">
            <v>11526</v>
          </cell>
          <cell r="AG283" t="str">
            <v>SOLICITUD</v>
          </cell>
          <cell r="AH283" t="str">
            <v>TESORERIA CRC</v>
          </cell>
        </row>
        <row r="284">
          <cell r="A284">
            <v>16326</v>
          </cell>
          <cell r="B284" t="str">
            <v>2026-03-27 00:00:00</v>
          </cell>
          <cell r="Q284" t="str">
            <v>800197268</v>
          </cell>
          <cell r="R284" t="str">
            <v>U.A.E. DIRECCION DE IMPUESTOS Y ADUANAS NACIONALES</v>
          </cell>
          <cell r="Z284" t="str">
            <v>11526</v>
          </cell>
          <cell r="AG284" t="str">
            <v>SOLICITUD</v>
          </cell>
          <cell r="AH284" t="str">
            <v>TESORERIA CRC</v>
          </cell>
        </row>
        <row r="285">
          <cell r="A285">
            <v>16326</v>
          </cell>
          <cell r="B285" t="str">
            <v>2026-03-27 00:00:00</v>
          </cell>
          <cell r="Q285" t="str">
            <v>800197268</v>
          </cell>
          <cell r="R285" t="str">
            <v>U.A.E. DIRECCION DE IMPUESTOS Y ADUANAS NACIONALES</v>
          </cell>
          <cell r="Z285" t="str">
            <v>11526</v>
          </cell>
          <cell r="AG285" t="str">
            <v>SOLICITUD</v>
          </cell>
          <cell r="AH285" t="str">
            <v>TESORERIA CRC</v>
          </cell>
        </row>
        <row r="286">
          <cell r="A286">
            <v>16326</v>
          </cell>
          <cell r="B286" t="str">
            <v>2026-03-27 00:00:00</v>
          </cell>
          <cell r="Q286" t="str">
            <v>800197268</v>
          </cell>
          <cell r="R286" t="str">
            <v>U.A.E. DIRECCION DE IMPUESTOS Y ADUANAS NACIONALES</v>
          </cell>
          <cell r="Z286" t="str">
            <v>11526</v>
          </cell>
          <cell r="AG286" t="str">
            <v>SOLICITUD</v>
          </cell>
          <cell r="AH286" t="str">
            <v>TESORERIA CRC</v>
          </cell>
        </row>
        <row r="287">
          <cell r="A287">
            <v>16326</v>
          </cell>
          <cell r="B287" t="str">
            <v>2026-03-27 00:00:00</v>
          </cell>
          <cell r="Q287" t="str">
            <v>800197268</v>
          </cell>
          <cell r="R287" t="str">
            <v>U.A.E. DIRECCION DE IMPUESTOS Y ADUANAS NACIONALES</v>
          </cell>
          <cell r="Z287" t="str">
            <v>11526</v>
          </cell>
          <cell r="AG287" t="str">
            <v>SOLICITUD</v>
          </cell>
          <cell r="AH287" t="str">
            <v>TESORERIA CRC</v>
          </cell>
        </row>
        <row r="288">
          <cell r="A288">
            <v>16426</v>
          </cell>
          <cell r="B288" t="str">
            <v>2026-03-27 00:00:00</v>
          </cell>
          <cell r="Q288" t="str">
            <v>800197268</v>
          </cell>
          <cell r="R288" t="str">
            <v>U.A.E. DIRECCION DE IMPUESTOS Y ADUANAS NACIONALES</v>
          </cell>
          <cell r="Z288" t="str">
            <v>326</v>
          </cell>
          <cell r="AG288" t="str">
            <v>SOLICITUD</v>
          </cell>
          <cell r="AH288" t="str">
            <v>TESORERIA CRC</v>
          </cell>
        </row>
        <row r="289">
          <cell r="A289">
            <v>16526</v>
          </cell>
          <cell r="B289" t="str">
            <v>2026-03-27 00:00:00</v>
          </cell>
          <cell r="Q289" t="str">
            <v>800197268</v>
          </cell>
          <cell r="R289" t="str">
            <v>U.A.E. DIRECCION DE IMPUESTOS Y ADUANAS NACIONALES</v>
          </cell>
          <cell r="Z289" t="str">
            <v>426</v>
          </cell>
          <cell r="AG289" t="str">
            <v>SOLICITUD</v>
          </cell>
          <cell r="AH289" t="str">
            <v>TESORERIA CRC</v>
          </cell>
        </row>
        <row r="290">
          <cell r="A290">
            <v>16526</v>
          </cell>
          <cell r="B290" t="str">
            <v>2026-03-27 00:00:00</v>
          </cell>
          <cell r="Q290" t="str">
            <v>800197268</v>
          </cell>
          <cell r="R290" t="str">
            <v>U.A.E. DIRECCION DE IMPUESTOS Y ADUANAS NACIONALES</v>
          </cell>
          <cell r="Z290" t="str">
            <v>426</v>
          </cell>
          <cell r="AG290" t="str">
            <v>SOLICITUD</v>
          </cell>
          <cell r="AH290" t="str">
            <v>TESORERIA CRC</v>
          </cell>
        </row>
        <row r="291">
          <cell r="A291">
            <v>16526</v>
          </cell>
          <cell r="B291" t="str">
            <v>2026-03-27 00:00:00</v>
          </cell>
          <cell r="Q291" t="str">
            <v>800197268</v>
          </cell>
          <cell r="R291" t="str">
            <v>U.A.E. DIRECCION DE IMPUESTOS Y ADUANAS NACIONALES</v>
          </cell>
          <cell r="Z291" t="str">
            <v>426</v>
          </cell>
          <cell r="AG291" t="str">
            <v>SOLICITUD</v>
          </cell>
          <cell r="AH291" t="str">
            <v>TESORERIA CRC</v>
          </cell>
        </row>
        <row r="292">
          <cell r="A292">
            <v>16526</v>
          </cell>
          <cell r="B292" t="str">
            <v>2026-03-27 00:00:00</v>
          </cell>
          <cell r="Q292" t="str">
            <v>800197268</v>
          </cell>
          <cell r="R292" t="str">
            <v>U.A.E. DIRECCION DE IMPUESTOS Y ADUANAS NACIONALES</v>
          </cell>
          <cell r="Z292" t="str">
            <v>426</v>
          </cell>
          <cell r="AG292" t="str">
            <v>SOLICITUD</v>
          </cell>
          <cell r="AH292" t="str">
            <v>TESORERIA CRC</v>
          </cell>
        </row>
        <row r="293">
          <cell r="A293">
            <v>16526</v>
          </cell>
          <cell r="B293" t="str">
            <v>2026-03-27 00:00:00</v>
          </cell>
          <cell r="Q293" t="str">
            <v>800197268</v>
          </cell>
          <cell r="R293" t="str">
            <v>U.A.E. DIRECCION DE IMPUESTOS Y ADUANAS NACIONALES</v>
          </cell>
          <cell r="Z293" t="str">
            <v>426</v>
          </cell>
          <cell r="AG293" t="str">
            <v>SOLICITUD</v>
          </cell>
          <cell r="AH293" t="str">
            <v>TESORERIA CRC</v>
          </cell>
        </row>
        <row r="294">
          <cell r="A294">
            <v>16526</v>
          </cell>
          <cell r="B294" t="str">
            <v>2026-03-27 00:00:00</v>
          </cell>
          <cell r="Q294" t="str">
            <v>800197268</v>
          </cell>
          <cell r="R294" t="str">
            <v>U.A.E. DIRECCION DE IMPUESTOS Y ADUANAS NACIONALES</v>
          </cell>
          <cell r="Z294" t="str">
            <v>426</v>
          </cell>
          <cell r="AG294" t="str">
            <v>SOLICITUD</v>
          </cell>
          <cell r="AH294" t="str">
            <v>TESORERIA CRC</v>
          </cell>
        </row>
        <row r="295">
          <cell r="A295">
            <v>16626</v>
          </cell>
          <cell r="B295" t="str">
            <v>2026-04-06 00:00:00</v>
          </cell>
          <cell r="Q295" t="str">
            <v>830002593</v>
          </cell>
          <cell r="R295" t="str">
            <v>COMISION DE REGULACION DE COMUNICACIONES</v>
          </cell>
          <cell r="Z295" t="str">
            <v>11726</v>
          </cell>
          <cell r="AG295" t="str">
            <v>RESOLUCION</v>
          </cell>
          <cell r="AH295" t="str">
            <v>148/2026</v>
          </cell>
        </row>
        <row r="296">
          <cell r="A296">
            <v>16626</v>
          </cell>
          <cell r="B296" t="str">
            <v>2026-04-06 00:00:00</v>
          </cell>
          <cell r="Q296" t="str">
            <v>830002593</v>
          </cell>
          <cell r="R296" t="str">
            <v>COMISION DE REGULACION DE COMUNICACIONES</v>
          </cell>
          <cell r="Z296" t="str">
            <v>11726</v>
          </cell>
          <cell r="AG296" t="str">
            <v>RESOLUCION</v>
          </cell>
          <cell r="AH296" t="str">
            <v>148/2026</v>
          </cell>
        </row>
        <row r="297">
          <cell r="A297">
            <v>16726</v>
          </cell>
          <cell r="B297" t="str">
            <v>2026-04-06 00:00:00</v>
          </cell>
          <cell r="Q297" t="str">
            <v>900516872</v>
          </cell>
          <cell r="R297" t="str">
            <v>EDIFICIO LINK 7-60</v>
          </cell>
          <cell r="Z297" t="str">
            <v>126</v>
          </cell>
          <cell r="AG297" t="str">
            <v>FACTURA</v>
          </cell>
          <cell r="AH297" t="str">
            <v>LK7624</v>
          </cell>
        </row>
        <row r="298">
          <cell r="A298">
            <v>16826</v>
          </cell>
          <cell r="B298" t="str">
            <v>2026-04-08 00:00:00</v>
          </cell>
          <cell r="Q298" t="str">
            <v>901096617</v>
          </cell>
          <cell r="R298" t="str">
            <v>FUNDACION UNIVERSITARIA INTERNACIONAL DE LA RIOJA</v>
          </cell>
          <cell r="Z298" t="str">
            <v>10026</v>
          </cell>
          <cell r="AG298" t="str">
            <v>ACTA</v>
          </cell>
          <cell r="AH298" t="str">
            <v>01/2026 COMITE BIENESTAR</v>
          </cell>
        </row>
        <row r="299">
          <cell r="A299">
            <v>16926</v>
          </cell>
          <cell r="B299" t="str">
            <v>2026-04-09 00:00:00</v>
          </cell>
          <cell r="Q299" t="str">
            <v>830002593</v>
          </cell>
          <cell r="R299" t="str">
            <v>COMISION DE REGULACION DE COMUNICACIONES</v>
          </cell>
          <cell r="Z299" t="str">
            <v>11826</v>
          </cell>
          <cell r="AG299" t="str">
            <v>RESOLUCION</v>
          </cell>
          <cell r="AH299" t="str">
            <v>153/2026</v>
          </cell>
        </row>
        <row r="300">
          <cell r="A300">
            <v>16926</v>
          </cell>
          <cell r="B300" t="str">
            <v>2026-04-09 00:00:00</v>
          </cell>
          <cell r="Q300" t="str">
            <v>830002593</v>
          </cell>
          <cell r="R300" t="str">
            <v>COMISION DE REGULACION DE COMUNICACIONES</v>
          </cell>
          <cell r="Z300" t="str">
            <v>11826</v>
          </cell>
          <cell r="AG300" t="str">
            <v>RESOLUCION</v>
          </cell>
          <cell r="AH300" t="str">
            <v>153/2026</v>
          </cell>
        </row>
        <row r="301">
          <cell r="A301">
            <v>16926</v>
          </cell>
          <cell r="B301" t="str">
            <v>2026-04-09 00:00:00</v>
          </cell>
          <cell r="Q301" t="str">
            <v>830002593</v>
          </cell>
          <cell r="R301" t="str">
            <v>COMISION DE REGULACION DE COMUNICACIONES</v>
          </cell>
          <cell r="Z301" t="str">
            <v>11826</v>
          </cell>
          <cell r="AG301" t="str">
            <v>RESOLUCION</v>
          </cell>
          <cell r="AH301" t="str">
            <v>153/2026</v>
          </cell>
        </row>
        <row r="302">
          <cell r="A302">
            <v>17026</v>
          </cell>
          <cell r="B302" t="str">
            <v>2026-04-10 00:00:00</v>
          </cell>
          <cell r="Q302" t="str">
            <v>860002184</v>
          </cell>
          <cell r="R302" t="str">
            <v>AXA COLPATRIA SEGUROS S.A.</v>
          </cell>
          <cell r="Z302" t="str">
            <v>11326</v>
          </cell>
          <cell r="AG302" t="str">
            <v>OTROS</v>
          </cell>
          <cell r="AH302" t="str">
            <v>OTROSÍ 01 AL CTO 95/2025</v>
          </cell>
        </row>
        <row r="303">
          <cell r="A303">
            <v>17126</v>
          </cell>
          <cell r="B303" t="str">
            <v>2026-04-13 00:00:00</v>
          </cell>
          <cell r="Q303" t="str">
            <v>34558930</v>
          </cell>
          <cell r="R303" t="str">
            <v>MUÑOZ GOMEZ ANDREA BEATRIZ EUGENIA</v>
          </cell>
          <cell r="Z303" t="str">
            <v>7726</v>
          </cell>
          <cell r="AG303" t="str">
            <v>ACTA</v>
          </cell>
          <cell r="AH303" t="str">
            <v>1563/2026</v>
          </cell>
        </row>
        <row r="304">
          <cell r="A304">
            <v>17226</v>
          </cell>
          <cell r="B304" t="str">
            <v>2026-04-13 00:00:00</v>
          </cell>
          <cell r="Q304" t="str">
            <v>16734378</v>
          </cell>
          <cell r="R304" t="str">
            <v>MENDOZA GARCIA JULIO CESAR</v>
          </cell>
          <cell r="Z304" t="str">
            <v>7726</v>
          </cell>
          <cell r="AG304" t="str">
            <v>ACTA</v>
          </cell>
          <cell r="AH304" t="str">
            <v>1563/2026</v>
          </cell>
        </row>
        <row r="305">
          <cell r="A305">
            <v>17326</v>
          </cell>
          <cell r="B305" t="str">
            <v>2026-04-14 00:00:00</v>
          </cell>
          <cell r="Q305" t="str">
            <v>899999061</v>
          </cell>
          <cell r="R305" t="str">
            <v>BOGOTA DISTRITO CAPITAL</v>
          </cell>
          <cell r="Z305" t="str">
            <v>11626</v>
          </cell>
          <cell r="AG305" t="str">
            <v>FACTURA</v>
          </cell>
          <cell r="AH305" t="str">
            <v>2026001041844163376</v>
          </cell>
        </row>
        <row r="306">
          <cell r="A306">
            <v>17426</v>
          </cell>
          <cell r="B306" t="str">
            <v>2026-04-14 00:00:00</v>
          </cell>
          <cell r="Q306" t="str">
            <v>900064651</v>
          </cell>
          <cell r="R306" t="str">
            <v>INELMED DE COLOMBIA S.A.S.</v>
          </cell>
          <cell r="Z306" t="str">
            <v>10926</v>
          </cell>
          <cell r="AG306" t="str">
            <v>LOA - CARTA ACEPTACION</v>
          </cell>
          <cell r="AH306" t="str">
            <v>68/2026</v>
          </cell>
        </row>
        <row r="307">
          <cell r="A307">
            <v>17526</v>
          </cell>
          <cell r="B307" t="str">
            <v>2026-04-15 00:00:00</v>
          </cell>
          <cell r="Q307" t="str">
            <v>830002593</v>
          </cell>
          <cell r="R307" t="str">
            <v>COMISION DE REGULACION DE COMUNICACIONES</v>
          </cell>
          <cell r="Z307" t="str">
            <v>326</v>
          </cell>
          <cell r="AG307" t="str">
            <v>NOMINA</v>
          </cell>
          <cell r="AH307" t="str">
            <v>ABRIL/2026</v>
          </cell>
        </row>
        <row r="308">
          <cell r="A308">
            <v>17526</v>
          </cell>
          <cell r="B308" t="str">
            <v>2026-04-15 00:00:00</v>
          </cell>
          <cell r="Q308" t="str">
            <v>830002593</v>
          </cell>
          <cell r="R308" t="str">
            <v>COMISION DE REGULACION DE COMUNICACIONES</v>
          </cell>
          <cell r="Z308" t="str">
            <v>326</v>
          </cell>
          <cell r="AG308" t="str">
            <v>NOMINA</v>
          </cell>
          <cell r="AH308" t="str">
            <v>ABRIL/2026</v>
          </cell>
        </row>
        <row r="309">
          <cell r="A309">
            <v>17526</v>
          </cell>
          <cell r="B309" t="str">
            <v>2026-04-15 00:00:00</v>
          </cell>
          <cell r="Q309" t="str">
            <v>830002593</v>
          </cell>
          <cell r="R309" t="str">
            <v>COMISION DE REGULACION DE COMUNICACIONES</v>
          </cell>
          <cell r="Z309" t="str">
            <v>326</v>
          </cell>
          <cell r="AG309" t="str">
            <v>NOMINA</v>
          </cell>
          <cell r="AH309" t="str">
            <v>ABRIL/2026</v>
          </cell>
        </row>
        <row r="310">
          <cell r="A310">
            <v>17526</v>
          </cell>
          <cell r="B310" t="str">
            <v>2026-04-15 00:00:00</v>
          </cell>
          <cell r="Q310" t="str">
            <v>830002593</v>
          </cell>
          <cell r="R310" t="str">
            <v>COMISION DE REGULACION DE COMUNICACIONES</v>
          </cell>
          <cell r="Z310" t="str">
            <v>326</v>
          </cell>
          <cell r="AG310" t="str">
            <v>NOMINA</v>
          </cell>
          <cell r="AH310" t="str">
            <v>ABRIL/2026</v>
          </cell>
        </row>
        <row r="311">
          <cell r="A311">
            <v>17526</v>
          </cell>
          <cell r="B311" t="str">
            <v>2026-04-15 00:00:00</v>
          </cell>
          <cell r="Q311" t="str">
            <v>830002593</v>
          </cell>
          <cell r="R311" t="str">
            <v>COMISION DE REGULACION DE COMUNICACIONES</v>
          </cell>
          <cell r="Z311" t="str">
            <v>326</v>
          </cell>
          <cell r="AG311" t="str">
            <v>NOMINA</v>
          </cell>
          <cell r="AH311" t="str">
            <v>ABRIL/2026</v>
          </cell>
        </row>
        <row r="312">
          <cell r="A312">
            <v>17526</v>
          </cell>
          <cell r="B312" t="str">
            <v>2026-04-15 00:00:00</v>
          </cell>
          <cell r="Q312" t="str">
            <v>830002593</v>
          </cell>
          <cell r="R312" t="str">
            <v>COMISION DE REGULACION DE COMUNICACIONES</v>
          </cell>
          <cell r="Z312" t="str">
            <v>326</v>
          </cell>
          <cell r="AG312" t="str">
            <v>NOMINA</v>
          </cell>
          <cell r="AH312" t="str">
            <v>ABRIL/2026</v>
          </cell>
        </row>
        <row r="313">
          <cell r="A313">
            <v>17526</v>
          </cell>
          <cell r="B313" t="str">
            <v>2026-04-15 00:00:00</v>
          </cell>
          <cell r="Q313" t="str">
            <v>830002593</v>
          </cell>
          <cell r="R313" t="str">
            <v>COMISION DE REGULACION DE COMUNICACIONES</v>
          </cell>
          <cell r="Z313" t="str">
            <v>326</v>
          </cell>
          <cell r="AG313" t="str">
            <v>NOMINA</v>
          </cell>
          <cell r="AH313" t="str">
            <v>ABRIL/2026</v>
          </cell>
        </row>
        <row r="314">
          <cell r="A314">
            <v>17526</v>
          </cell>
          <cell r="B314" t="str">
            <v>2026-04-15 00:00:00</v>
          </cell>
          <cell r="Q314" t="str">
            <v>830002593</v>
          </cell>
          <cell r="R314" t="str">
            <v>COMISION DE REGULACION DE COMUNICACIONES</v>
          </cell>
          <cell r="Z314" t="str">
            <v>326</v>
          </cell>
          <cell r="AG314" t="str">
            <v>NOMINA</v>
          </cell>
          <cell r="AH314" t="str">
            <v>ABRIL/2026</v>
          </cell>
        </row>
        <row r="315">
          <cell r="A315">
            <v>17526</v>
          </cell>
          <cell r="B315" t="str">
            <v>2026-04-15 00:00:00</v>
          </cell>
          <cell r="Q315" t="str">
            <v>830002593</v>
          </cell>
          <cell r="R315" t="str">
            <v>COMISION DE REGULACION DE COMUNICACIONES</v>
          </cell>
          <cell r="Z315" t="str">
            <v>326</v>
          </cell>
          <cell r="AG315" t="str">
            <v>NOMINA</v>
          </cell>
          <cell r="AH315" t="str">
            <v>ABRIL/2026</v>
          </cell>
        </row>
        <row r="316">
          <cell r="A316">
            <v>17526</v>
          </cell>
          <cell r="B316" t="str">
            <v>2026-04-15 00:00:00</v>
          </cell>
          <cell r="Q316" t="str">
            <v>830002593</v>
          </cell>
          <cell r="R316" t="str">
            <v>COMISION DE REGULACION DE COMUNICACIONES</v>
          </cell>
          <cell r="Z316" t="str">
            <v>326</v>
          </cell>
          <cell r="AG316" t="str">
            <v>NOMINA</v>
          </cell>
          <cell r="AH316" t="str">
            <v>ABRIL/2026</v>
          </cell>
        </row>
        <row r="317">
          <cell r="A317">
            <v>17526</v>
          </cell>
          <cell r="B317" t="str">
            <v>2026-04-15 00:00:00</v>
          </cell>
          <cell r="Q317" t="str">
            <v>830002593</v>
          </cell>
          <cell r="R317" t="str">
            <v>COMISION DE REGULACION DE COMUNICACIONES</v>
          </cell>
          <cell r="Z317" t="str">
            <v>326</v>
          </cell>
          <cell r="AG317" t="str">
            <v>NOMINA</v>
          </cell>
          <cell r="AH317" t="str">
            <v>ABRIL/2026</v>
          </cell>
        </row>
        <row r="318">
          <cell r="A318">
            <v>17526</v>
          </cell>
          <cell r="B318" t="str">
            <v>2026-04-15 00:00:00</v>
          </cell>
          <cell r="Q318" t="str">
            <v>830002593</v>
          </cell>
          <cell r="R318" t="str">
            <v>COMISION DE REGULACION DE COMUNICACIONES</v>
          </cell>
          <cell r="Z318" t="str">
            <v>326</v>
          </cell>
          <cell r="AG318" t="str">
            <v>NOMINA</v>
          </cell>
          <cell r="AH318" t="str">
            <v>ABRIL/2026</v>
          </cell>
        </row>
        <row r="319">
          <cell r="A319">
            <v>17526</v>
          </cell>
          <cell r="B319" t="str">
            <v>2026-04-15 00:00:00</v>
          </cell>
          <cell r="Q319" t="str">
            <v>830002593</v>
          </cell>
          <cell r="R319" t="str">
            <v>COMISION DE REGULACION DE COMUNICACIONES</v>
          </cell>
          <cell r="Z319" t="str">
            <v>326</v>
          </cell>
          <cell r="AG319" t="str">
            <v>NOMINA</v>
          </cell>
          <cell r="AH319" t="str">
            <v>ABRIL/2026</v>
          </cell>
        </row>
        <row r="320">
          <cell r="A320">
            <v>17526</v>
          </cell>
          <cell r="B320" t="str">
            <v>2026-04-15 00:00:00</v>
          </cell>
          <cell r="Q320" t="str">
            <v>830002593</v>
          </cell>
          <cell r="R320" t="str">
            <v>COMISION DE REGULACION DE COMUNICACIONES</v>
          </cell>
          <cell r="Z320" t="str">
            <v>326</v>
          </cell>
          <cell r="AG320" t="str">
            <v>NOMINA</v>
          </cell>
          <cell r="AH320" t="str">
            <v>ABRIL/2026</v>
          </cell>
        </row>
        <row r="321">
          <cell r="A321">
            <v>17526</v>
          </cell>
          <cell r="B321" t="str">
            <v>2026-04-15 00:00:00</v>
          </cell>
          <cell r="Q321" t="str">
            <v>830002593</v>
          </cell>
          <cell r="R321" t="str">
            <v>COMISION DE REGULACION DE COMUNICACIONES</v>
          </cell>
          <cell r="Z321" t="str">
            <v>326</v>
          </cell>
          <cell r="AG321" t="str">
            <v>NOMINA</v>
          </cell>
          <cell r="AH321" t="str">
            <v>ABRIL/2026</v>
          </cell>
        </row>
        <row r="322">
          <cell r="A322">
            <v>17626</v>
          </cell>
          <cell r="B322" t="str">
            <v>2026-04-16 00:00:00</v>
          </cell>
          <cell r="Q322" t="str">
            <v>860002503</v>
          </cell>
          <cell r="R322" t="str">
            <v>COMPAÑIA DE SEGUROS BOLIVAR S A TAMBIEN PODRA GIRAR BAJO LA DENOMINACION SEGUROS BOLIVAR S A</v>
          </cell>
          <cell r="Z322" t="str">
            <v>12326</v>
          </cell>
          <cell r="AG322" t="str">
            <v>PLANILLA SEGURIDAD SOCIAL</v>
          </cell>
          <cell r="AH322" t="str">
            <v>85029993</v>
          </cell>
        </row>
        <row r="323">
          <cell r="A323">
            <v>17726</v>
          </cell>
          <cell r="B323" t="str">
            <v>2026-04-16 00:00:00</v>
          </cell>
          <cell r="Q323" t="str">
            <v>800197268</v>
          </cell>
          <cell r="R323" t="str">
            <v>U.A.E. DIRECCION DE IMPUESTOS Y ADUANAS NACIONALES</v>
          </cell>
          <cell r="Z323" t="str">
            <v>12426</v>
          </cell>
          <cell r="AG323" t="str">
            <v>SOLICITUD</v>
          </cell>
          <cell r="AH323" t="str">
            <v>TESORERIA CRC</v>
          </cell>
        </row>
        <row r="324">
          <cell r="A324">
            <v>17726</v>
          </cell>
          <cell r="B324" t="str">
            <v>2026-04-16 00:00:00</v>
          </cell>
          <cell r="Q324" t="str">
            <v>800197268</v>
          </cell>
          <cell r="R324" t="str">
            <v>U.A.E. DIRECCION DE IMPUESTOS Y ADUANAS NACIONALES</v>
          </cell>
          <cell r="Z324" t="str">
            <v>12426</v>
          </cell>
          <cell r="AG324" t="str">
            <v>SOLICITUD</v>
          </cell>
          <cell r="AH324" t="str">
            <v>TESORERIA CRC</v>
          </cell>
        </row>
        <row r="325">
          <cell r="A325">
            <v>17826</v>
          </cell>
          <cell r="B325" t="str">
            <v>2026-04-16 00:00:00</v>
          </cell>
          <cell r="Q325" t="str">
            <v>800197268</v>
          </cell>
          <cell r="R325" t="str">
            <v>U.A.E. DIRECCION DE IMPUESTOS Y ADUANAS NACIONALES</v>
          </cell>
          <cell r="Z325" t="str">
            <v>326</v>
          </cell>
          <cell r="AG325" t="str">
            <v>SOLICITUD</v>
          </cell>
          <cell r="AH325" t="str">
            <v>TESORERIA CRC</v>
          </cell>
        </row>
        <row r="326">
          <cell r="A326">
            <v>17926</v>
          </cell>
          <cell r="B326" t="str">
            <v>2026-04-16 00:00:00</v>
          </cell>
          <cell r="Q326" t="str">
            <v>65717122</v>
          </cell>
          <cell r="R326" t="str">
            <v>BUSTAMANTE OSORIO CLAUDIA XIMENA</v>
          </cell>
          <cell r="Z326" t="str">
            <v>11926</v>
          </cell>
          <cell r="AG326" t="str">
            <v>OTRAS AUTORIZACIONES ESPECIALES</v>
          </cell>
          <cell r="AH326" t="str">
            <v>135555/2026</v>
          </cell>
        </row>
        <row r="327">
          <cell r="A327">
            <v>18026</v>
          </cell>
          <cell r="B327" t="str">
            <v>2026-04-16 00:00:00</v>
          </cell>
          <cell r="Q327" t="str">
            <v>79288628</v>
          </cell>
          <cell r="R327" t="str">
            <v>ROMERO GARZON HUGO HERNAN</v>
          </cell>
          <cell r="Z327" t="str">
            <v>12026</v>
          </cell>
          <cell r="AG327" t="str">
            <v>OTRAS AUTORIZACIONES ESPECIALES</v>
          </cell>
          <cell r="AH327" t="str">
            <v>135556/2026</v>
          </cell>
        </row>
        <row r="328">
          <cell r="A328">
            <v>18126</v>
          </cell>
          <cell r="B328" t="str">
            <v>2026-04-20 00:00:00</v>
          </cell>
          <cell r="Q328" t="str">
            <v>901898179</v>
          </cell>
          <cell r="R328" t="str">
            <v>CONSORCIO ROYAL SOTELCO TECNOLOGIAS INTEGRADAS</v>
          </cell>
          <cell r="Z328" t="str">
            <v>11426</v>
          </cell>
          <cell r="AG328" t="str">
            <v>ORDEN DE COMPRA</v>
          </cell>
          <cell r="AH328" t="str">
            <v>163478/2026</v>
          </cell>
        </row>
        <row r="329">
          <cell r="A329">
            <v>18226</v>
          </cell>
          <cell r="B329" t="str">
            <v>2026-04-20 00:00:00</v>
          </cell>
          <cell r="Q329" t="str">
            <v>900744149</v>
          </cell>
          <cell r="R329" t="str">
            <v>GESTION AMBIENTAL DE COLOMBIA SAS ESP</v>
          </cell>
          <cell r="Z329" t="str">
            <v>11026</v>
          </cell>
          <cell r="AG329" t="str">
            <v>LOA - CARTA ACEPTACION</v>
          </cell>
          <cell r="AH329" t="str">
            <v>69/2026</v>
          </cell>
        </row>
        <row r="330">
          <cell r="A330">
            <v>18326</v>
          </cell>
          <cell r="B330" t="str">
            <v>2026-04-22 00:00:00</v>
          </cell>
          <cell r="Q330" t="str">
            <v>901999408</v>
          </cell>
          <cell r="R330" t="str">
            <v>S.L.A. &amp; MEDIOS SAS</v>
          </cell>
          <cell r="Z330" t="str">
            <v>11126</v>
          </cell>
          <cell r="AG330" t="str">
            <v>LOA - CARTA ACEPTACION</v>
          </cell>
          <cell r="AH330" t="str">
            <v>70/2026</v>
          </cell>
        </row>
        <row r="331">
          <cell r="A331">
            <v>18426</v>
          </cell>
          <cell r="B331" t="str">
            <v>2026-04-24 00:00:00</v>
          </cell>
          <cell r="Q331" t="str">
            <v>1128047454</v>
          </cell>
          <cell r="R331" t="str">
            <v>DIAZ SUAZA FELIPE AUGUSTO</v>
          </cell>
          <cell r="Z331" t="str">
            <v>7726</v>
          </cell>
          <cell r="AG331" t="str">
            <v>ACTA</v>
          </cell>
          <cell r="AH331" t="str">
            <v>1565/2026</v>
          </cell>
        </row>
        <row r="332">
          <cell r="A332">
            <v>18526</v>
          </cell>
          <cell r="B332" t="str">
            <v>2026-04-24 00:00:00</v>
          </cell>
          <cell r="Q332" t="str">
            <v>79591976</v>
          </cell>
          <cell r="R332" t="str">
            <v>GUTIERREZ AFANADOR JAVIER</v>
          </cell>
          <cell r="Z332" t="str">
            <v>7726</v>
          </cell>
          <cell r="AG332" t="str">
            <v>ACTA</v>
          </cell>
          <cell r="AH332" t="str">
            <v>1565</v>
          </cell>
        </row>
        <row r="333">
          <cell r="A333">
            <v>18626</v>
          </cell>
          <cell r="B333" t="str">
            <v>2026-04-27 00:00:00</v>
          </cell>
          <cell r="Q333" t="str">
            <v>899999284</v>
          </cell>
          <cell r="R333" t="str">
            <v>FONDO NACIONAL DEL AHORRO S.A.</v>
          </cell>
          <cell r="Z333" t="str">
            <v>426</v>
          </cell>
          <cell r="AG333" t="str">
            <v>NOMINA</v>
          </cell>
          <cell r="AH333" t="str">
            <v>ABRIL/2026</v>
          </cell>
        </row>
        <row r="334">
          <cell r="A334">
            <v>18626</v>
          </cell>
          <cell r="B334" t="str">
            <v>2026-04-27 00:00:00</v>
          </cell>
          <cell r="Q334" t="str">
            <v>899999284</v>
          </cell>
          <cell r="R334" t="str">
            <v>FONDO NACIONAL DEL AHORRO S.A.</v>
          </cell>
          <cell r="Z334" t="str">
            <v>426</v>
          </cell>
          <cell r="AG334" t="str">
            <v>NOMINA</v>
          </cell>
          <cell r="AH334" t="str">
            <v>ABRIL/2026</v>
          </cell>
        </row>
        <row r="335">
          <cell r="A335">
            <v>18726</v>
          </cell>
          <cell r="B335" t="str">
            <v>2026-04-28 00:00:00</v>
          </cell>
          <cell r="Q335" t="str">
            <v>1128047454</v>
          </cell>
          <cell r="R335" t="str">
            <v>DIAZ SUAZA FELIPE AUGUSTO</v>
          </cell>
          <cell r="Z335" t="str">
            <v>12526</v>
          </cell>
          <cell r="AG335" t="str">
            <v>OTRAS AUTORIZACIONES ESPECIALES</v>
          </cell>
          <cell r="AH335" t="str">
            <v>136062/2026</v>
          </cell>
        </row>
        <row r="336">
          <cell r="A336">
            <v>18826</v>
          </cell>
          <cell r="B336" t="str">
            <v>2026-04-28 00:00:00</v>
          </cell>
          <cell r="Q336" t="str">
            <v>830002593</v>
          </cell>
          <cell r="R336" t="str">
            <v>COMISION DE REGULACION DE COMUNICACIONES</v>
          </cell>
          <cell r="Z336" t="str">
            <v>426</v>
          </cell>
          <cell r="AG336" t="str">
            <v>NOMINA</v>
          </cell>
          <cell r="AH336" t="str">
            <v>ABRIL 2026</v>
          </cell>
        </row>
        <row r="337">
          <cell r="A337">
            <v>18826</v>
          </cell>
          <cell r="B337" t="str">
            <v>2026-04-28 00:00:00</v>
          </cell>
          <cell r="Q337" t="str">
            <v>830002593</v>
          </cell>
          <cell r="R337" t="str">
            <v>COMISION DE REGULACION DE COMUNICACIONES</v>
          </cell>
          <cell r="Z337" t="str">
            <v>426</v>
          </cell>
          <cell r="AG337" t="str">
            <v>NOMINA</v>
          </cell>
          <cell r="AH337" t="str">
            <v>ABRIL 2026</v>
          </cell>
        </row>
        <row r="338">
          <cell r="A338">
            <v>18826</v>
          </cell>
          <cell r="B338" t="str">
            <v>2026-04-28 00:00:00</v>
          </cell>
          <cell r="Q338" t="str">
            <v>830002593</v>
          </cell>
          <cell r="R338" t="str">
            <v>COMISION DE REGULACION DE COMUNICACIONES</v>
          </cell>
          <cell r="Z338" t="str">
            <v>426</v>
          </cell>
          <cell r="AG338" t="str">
            <v>NOMINA</v>
          </cell>
          <cell r="AH338" t="str">
            <v>ABRIL 2026</v>
          </cell>
        </row>
        <row r="339">
          <cell r="A339">
            <v>18826</v>
          </cell>
          <cell r="B339" t="str">
            <v>2026-04-28 00:00:00</v>
          </cell>
          <cell r="Q339" t="str">
            <v>830002593</v>
          </cell>
          <cell r="R339" t="str">
            <v>COMISION DE REGULACION DE COMUNICACIONES</v>
          </cell>
          <cell r="Z339" t="str">
            <v>426</v>
          </cell>
          <cell r="AG339" t="str">
            <v>NOMINA</v>
          </cell>
          <cell r="AH339" t="str">
            <v>ABRIL 2026</v>
          </cell>
        </row>
        <row r="340">
          <cell r="A340">
            <v>18826</v>
          </cell>
          <cell r="B340" t="str">
            <v>2026-04-28 00:00:00</v>
          </cell>
          <cell r="Q340" t="str">
            <v>830002593</v>
          </cell>
          <cell r="R340" t="str">
            <v>COMISION DE REGULACION DE COMUNICACIONES</v>
          </cell>
          <cell r="Z340" t="str">
            <v>426</v>
          </cell>
          <cell r="AG340" t="str">
            <v>NOMINA</v>
          </cell>
          <cell r="AH340" t="str">
            <v>ABRIL 2026</v>
          </cell>
        </row>
        <row r="341">
          <cell r="A341">
            <v>18826</v>
          </cell>
          <cell r="B341" t="str">
            <v>2026-04-28 00:00:00</v>
          </cell>
          <cell r="Q341" t="str">
            <v>830002593</v>
          </cell>
          <cell r="R341" t="str">
            <v>COMISION DE REGULACION DE COMUNICACIONES</v>
          </cell>
          <cell r="Z341" t="str">
            <v>426</v>
          </cell>
          <cell r="AG341" t="str">
            <v>NOMINA</v>
          </cell>
          <cell r="AH341" t="str">
            <v>ABRIL 2026</v>
          </cell>
        </row>
        <row r="342">
          <cell r="A342">
            <v>18926</v>
          </cell>
          <cell r="B342" t="str">
            <v>2026-04-30 00:00:00</v>
          </cell>
          <cell r="Q342" t="str">
            <v>830002593</v>
          </cell>
          <cell r="R342" t="str">
            <v>COMISION DE REGULACION DE COMUNICACIONES</v>
          </cell>
          <cell r="Z342" t="str">
            <v>326</v>
          </cell>
          <cell r="AG342" t="str">
            <v>NOMINA</v>
          </cell>
          <cell r="AH342" t="str">
            <v>RETROACTIVO 2026</v>
          </cell>
        </row>
        <row r="343">
          <cell r="A343">
            <v>18926</v>
          </cell>
          <cell r="B343" t="str">
            <v>2026-04-30 00:00:00</v>
          </cell>
          <cell r="Q343" t="str">
            <v>830002593</v>
          </cell>
          <cell r="R343" t="str">
            <v>COMISION DE REGULACION DE COMUNICACIONES</v>
          </cell>
          <cell r="Z343" t="str">
            <v>326</v>
          </cell>
          <cell r="AG343" t="str">
            <v>NOMINA</v>
          </cell>
          <cell r="AH343" t="str">
            <v>RETROACTIVO 2026</v>
          </cell>
        </row>
        <row r="344">
          <cell r="A344">
            <v>18926</v>
          </cell>
          <cell r="B344" t="str">
            <v>2026-04-30 00:00:00</v>
          </cell>
          <cell r="Q344" t="str">
            <v>830002593</v>
          </cell>
          <cell r="R344" t="str">
            <v>COMISION DE REGULACION DE COMUNICACIONES</v>
          </cell>
          <cell r="Z344" t="str">
            <v>326</v>
          </cell>
          <cell r="AG344" t="str">
            <v>NOMINA</v>
          </cell>
          <cell r="AH344" t="str">
            <v>RETROACTIVO 2026</v>
          </cell>
        </row>
        <row r="345">
          <cell r="A345">
            <v>18926</v>
          </cell>
          <cell r="B345" t="str">
            <v>2026-04-30 00:00:00</v>
          </cell>
          <cell r="Q345" t="str">
            <v>830002593</v>
          </cell>
          <cell r="R345" t="str">
            <v>COMISION DE REGULACION DE COMUNICACIONES</v>
          </cell>
          <cell r="Z345" t="str">
            <v>326</v>
          </cell>
          <cell r="AG345" t="str">
            <v>NOMINA</v>
          </cell>
          <cell r="AH345" t="str">
            <v>RETROACTIVO 2026</v>
          </cell>
        </row>
        <row r="346">
          <cell r="A346">
            <v>18926</v>
          </cell>
          <cell r="B346" t="str">
            <v>2026-04-30 00:00:00</v>
          </cell>
          <cell r="Q346" t="str">
            <v>830002593</v>
          </cell>
          <cell r="R346" t="str">
            <v>COMISION DE REGULACION DE COMUNICACIONES</v>
          </cell>
          <cell r="Z346" t="str">
            <v>326</v>
          </cell>
          <cell r="AG346" t="str">
            <v>NOMINA</v>
          </cell>
          <cell r="AH346" t="str">
            <v>RETROACTIVO 2026</v>
          </cell>
        </row>
        <row r="347">
          <cell r="A347">
            <v>18926</v>
          </cell>
          <cell r="B347" t="str">
            <v>2026-04-30 00:00:00</v>
          </cell>
          <cell r="Q347" t="str">
            <v>830002593</v>
          </cell>
          <cell r="R347" t="str">
            <v>COMISION DE REGULACION DE COMUNICACIONES</v>
          </cell>
          <cell r="Z347" t="str">
            <v>326</v>
          </cell>
          <cell r="AG347" t="str">
            <v>NOMINA</v>
          </cell>
          <cell r="AH347" t="str">
            <v>RETROACTIVO 2026</v>
          </cell>
        </row>
        <row r="348">
          <cell r="A348">
            <v>18926</v>
          </cell>
          <cell r="B348" t="str">
            <v>2026-04-30 00:00:00</v>
          </cell>
          <cell r="Q348" t="str">
            <v>830002593</v>
          </cell>
          <cell r="R348" t="str">
            <v>COMISION DE REGULACION DE COMUNICACIONES</v>
          </cell>
          <cell r="Z348" t="str">
            <v>326</v>
          </cell>
          <cell r="AG348" t="str">
            <v>NOMINA</v>
          </cell>
          <cell r="AH348" t="str">
            <v>RETROACTIVO 2026</v>
          </cell>
        </row>
        <row r="349">
          <cell r="A349">
            <v>18926</v>
          </cell>
          <cell r="B349" t="str">
            <v>2026-04-30 00:00:00</v>
          </cell>
          <cell r="Q349" t="str">
            <v>830002593</v>
          </cell>
          <cell r="R349" t="str">
            <v>COMISION DE REGULACION DE COMUNICACIONES</v>
          </cell>
          <cell r="Z349" t="str">
            <v>326</v>
          </cell>
          <cell r="AG349" t="str">
            <v>NOMINA</v>
          </cell>
          <cell r="AH349" t="str">
            <v>RETROACTIVO 2026</v>
          </cell>
        </row>
        <row r="350">
          <cell r="A350">
            <v>18926</v>
          </cell>
          <cell r="B350" t="str">
            <v>2026-04-30 00:00:00</v>
          </cell>
          <cell r="Q350" t="str">
            <v>830002593</v>
          </cell>
          <cell r="R350" t="str">
            <v>COMISION DE REGULACION DE COMUNICACIONES</v>
          </cell>
          <cell r="Z350" t="str">
            <v>326</v>
          </cell>
          <cell r="AG350" t="str">
            <v>NOMINA</v>
          </cell>
          <cell r="AH350" t="str">
            <v>RETROACTIVO 2026</v>
          </cell>
        </row>
        <row r="351">
          <cell r="A351">
            <v>18926</v>
          </cell>
          <cell r="B351" t="str">
            <v>2026-04-30 00:00:00</v>
          </cell>
          <cell r="Q351" t="str">
            <v>830002593</v>
          </cell>
          <cell r="R351" t="str">
            <v>COMISION DE REGULACION DE COMUNICACIONES</v>
          </cell>
          <cell r="Z351" t="str">
            <v>326</v>
          </cell>
          <cell r="AG351" t="str">
            <v>NOMINA</v>
          </cell>
          <cell r="AH351" t="str">
            <v>RETROACTIVO 2026</v>
          </cell>
        </row>
        <row r="352">
          <cell r="A352">
            <v>18926</v>
          </cell>
          <cell r="B352" t="str">
            <v>2026-04-30 00:00:00</v>
          </cell>
          <cell r="Q352" t="str">
            <v>830002593</v>
          </cell>
          <cell r="R352" t="str">
            <v>COMISION DE REGULACION DE COMUNICACIONES</v>
          </cell>
          <cell r="Z352" t="str">
            <v>326</v>
          </cell>
          <cell r="AG352" t="str">
            <v>NOMINA</v>
          </cell>
          <cell r="AH352" t="str">
            <v>RETROACTIVO 2026</v>
          </cell>
        </row>
        <row r="353">
          <cell r="A353">
            <v>18926</v>
          </cell>
          <cell r="B353" t="str">
            <v>2026-04-30 00:00:00</v>
          </cell>
          <cell r="Q353" t="str">
            <v>830002593</v>
          </cell>
          <cell r="R353" t="str">
            <v>COMISION DE REGULACION DE COMUNICACIONES</v>
          </cell>
          <cell r="Z353" t="str">
            <v>326</v>
          </cell>
          <cell r="AG353" t="str">
            <v>NOMINA</v>
          </cell>
          <cell r="AH353" t="str">
            <v>RETROACTIVO 2026</v>
          </cell>
        </row>
        <row r="354">
          <cell r="A354">
            <v>18926</v>
          </cell>
          <cell r="B354" t="str">
            <v>2026-04-30 00:00:00</v>
          </cell>
          <cell r="Q354" t="str">
            <v>830002593</v>
          </cell>
          <cell r="R354" t="str">
            <v>COMISION DE REGULACION DE COMUNICACIONES</v>
          </cell>
          <cell r="Z354" t="str">
            <v>326</v>
          </cell>
          <cell r="AG354" t="str">
            <v>NOMINA</v>
          </cell>
          <cell r="AH354" t="str">
            <v>RETROACTIVO 2026</v>
          </cell>
        </row>
        <row r="355">
          <cell r="A355">
            <v>19026</v>
          </cell>
          <cell r="B355" t="str">
            <v>2026-05-06 00:00:00</v>
          </cell>
          <cell r="Q355" t="str">
            <v>900075108</v>
          </cell>
          <cell r="R355" t="str">
            <v>IMAGROUP COLOMBIA S.A.S</v>
          </cell>
          <cell r="Z355" t="str">
            <v>8926</v>
          </cell>
          <cell r="AG355" t="str">
            <v>CONTRATO DE PRESTACION DE SERVICIOS</v>
          </cell>
          <cell r="AH355" t="str">
            <v>72/2026</v>
          </cell>
        </row>
        <row r="356">
          <cell r="A356">
            <v>19126</v>
          </cell>
          <cell r="B356" t="str">
            <v>2026-05-06 00:00:00</v>
          </cell>
          <cell r="Q356" t="str">
            <v>52862292</v>
          </cell>
          <cell r="R356" t="str">
            <v>SARMIENTO ARGUELLO MARIANA</v>
          </cell>
          <cell r="Z356" t="str">
            <v>326</v>
          </cell>
          <cell r="AG356" t="str">
            <v>NOMINA</v>
          </cell>
          <cell r="AH356" t="str">
            <v>ADIC.VACACIONES MAYO</v>
          </cell>
        </row>
        <row r="357">
          <cell r="A357">
            <v>19126</v>
          </cell>
          <cell r="B357" t="str">
            <v>2026-05-06 00:00:00</v>
          </cell>
          <cell r="Q357" t="str">
            <v>52862292</v>
          </cell>
          <cell r="R357" t="str">
            <v>SARMIENTO ARGUELLO MARIANA</v>
          </cell>
          <cell r="Z357" t="str">
            <v>326</v>
          </cell>
          <cell r="AG357" t="str">
            <v>NOMINA</v>
          </cell>
          <cell r="AH357" t="str">
            <v>ADIC.VACACIONES MAYO</v>
          </cell>
        </row>
        <row r="358">
          <cell r="A358">
            <v>19126</v>
          </cell>
          <cell r="B358" t="str">
            <v>2026-05-06 00:00:00</v>
          </cell>
          <cell r="Q358" t="str">
            <v>52862292</v>
          </cell>
          <cell r="R358" t="str">
            <v>SARMIENTO ARGUELLO MARIANA</v>
          </cell>
          <cell r="Z358" t="str">
            <v>326</v>
          </cell>
          <cell r="AG358" t="str">
            <v>NOMINA</v>
          </cell>
          <cell r="AH358" t="str">
            <v>ADIC.VACACIONES MAYO</v>
          </cell>
        </row>
        <row r="359">
          <cell r="A359">
            <v>19226</v>
          </cell>
          <cell r="B359" t="str">
            <v>2026-05-06 00:00:00</v>
          </cell>
          <cell r="Q359" t="str">
            <v>900516872</v>
          </cell>
          <cell r="R359" t="str">
            <v>EDIFICIO LINK 7-60</v>
          </cell>
          <cell r="Z359" t="str">
            <v>126</v>
          </cell>
          <cell r="AG359" t="str">
            <v>FACTURA</v>
          </cell>
          <cell r="AH359" t="str">
            <v>LK7673/2026</v>
          </cell>
        </row>
        <row r="360">
          <cell r="A360">
            <v>19326</v>
          </cell>
          <cell r="B360" t="str">
            <v>2026-05-07 00:00:00</v>
          </cell>
          <cell r="Q360" t="str">
            <v>11441283</v>
          </cell>
          <cell r="R360" t="str">
            <v>CRUZ GERENA VLADIMIR</v>
          </cell>
          <cell r="Z360" t="str">
            <v>326</v>
          </cell>
          <cell r="AG360" t="str">
            <v>NOMINA</v>
          </cell>
          <cell r="AH360" t="str">
            <v>RETROACTIVO 2026</v>
          </cell>
        </row>
        <row r="361">
          <cell r="A361">
            <v>19326</v>
          </cell>
          <cell r="B361" t="str">
            <v>2026-05-07 00:00:00</v>
          </cell>
          <cell r="Q361" t="str">
            <v>11441283</v>
          </cell>
          <cell r="R361" t="str">
            <v>CRUZ GERENA VLADIMIR</v>
          </cell>
          <cell r="Z361" t="str">
            <v>326</v>
          </cell>
          <cell r="AG361" t="str">
            <v>NOMINA</v>
          </cell>
          <cell r="AH361" t="str">
            <v>RETROACTIVO 2026</v>
          </cell>
        </row>
        <row r="362">
          <cell r="A362">
            <v>19326</v>
          </cell>
          <cell r="B362" t="str">
            <v>2026-05-07 00:00:00</v>
          </cell>
          <cell r="Q362" t="str">
            <v>11441283</v>
          </cell>
          <cell r="R362" t="str">
            <v>CRUZ GERENA VLADIMIR</v>
          </cell>
          <cell r="Z362" t="str">
            <v>326</v>
          </cell>
          <cell r="AG362" t="str">
            <v>NOMINA</v>
          </cell>
          <cell r="AH362" t="str">
            <v>RETROACTIVO 2026</v>
          </cell>
        </row>
        <row r="363">
          <cell r="A363">
            <v>19326</v>
          </cell>
          <cell r="B363" t="str">
            <v>2026-05-07 00:00:00</v>
          </cell>
          <cell r="Q363" t="str">
            <v>11441283</v>
          </cell>
          <cell r="R363" t="str">
            <v>CRUZ GERENA VLADIMIR</v>
          </cell>
          <cell r="Z363" t="str">
            <v>326</v>
          </cell>
          <cell r="AG363" t="str">
            <v>NOMINA</v>
          </cell>
          <cell r="AH363" t="str">
            <v>RETROACTIVO 2026</v>
          </cell>
        </row>
        <row r="364">
          <cell r="A364">
            <v>19326</v>
          </cell>
          <cell r="B364" t="str">
            <v>2026-05-07 00:00:00</v>
          </cell>
          <cell r="Q364" t="str">
            <v>11441283</v>
          </cell>
          <cell r="R364" t="str">
            <v>CRUZ GERENA VLADIMIR</v>
          </cell>
          <cell r="Z364" t="str">
            <v>326</v>
          </cell>
          <cell r="AG364" t="str">
            <v>NOMINA</v>
          </cell>
          <cell r="AH364" t="str">
            <v>RETROACTIVO 2026</v>
          </cell>
        </row>
        <row r="365">
          <cell r="A365">
            <v>19326</v>
          </cell>
          <cell r="B365" t="str">
            <v>2026-05-07 00:00:00</v>
          </cell>
          <cell r="Q365" t="str">
            <v>11441283</v>
          </cell>
          <cell r="R365" t="str">
            <v>CRUZ GERENA VLADIMIR</v>
          </cell>
          <cell r="Z365" t="str">
            <v>326</v>
          </cell>
          <cell r="AG365" t="str">
            <v>NOMINA</v>
          </cell>
          <cell r="AH365" t="str">
            <v>RETROACTIVO 2026</v>
          </cell>
        </row>
        <row r="366">
          <cell r="A366">
            <v>19326</v>
          </cell>
          <cell r="B366" t="str">
            <v>2026-05-07 00:00:00</v>
          </cell>
          <cell r="Q366" t="str">
            <v>11441283</v>
          </cell>
          <cell r="R366" t="str">
            <v>CRUZ GERENA VLADIMIR</v>
          </cell>
          <cell r="Z366" t="str">
            <v>326</v>
          </cell>
          <cell r="AG366" t="str">
            <v>NOMINA</v>
          </cell>
          <cell r="AH366" t="str">
            <v>RETROACTIVO 2026</v>
          </cell>
        </row>
        <row r="367">
          <cell r="A367">
            <v>19426</v>
          </cell>
          <cell r="B367" t="str">
            <v>2026-05-07 00:00:00</v>
          </cell>
          <cell r="Q367" t="str">
            <v>52455955</v>
          </cell>
          <cell r="R367" t="str">
            <v>VELEZ MARROQUIN CARMEN PAOLA</v>
          </cell>
          <cell r="Z367" t="str">
            <v>12626</v>
          </cell>
          <cell r="AG367" t="str">
            <v>OTRAS AUTORIZACIONES ESPECIALES</v>
          </cell>
          <cell r="AH367" t="str">
            <v>136160/2026</v>
          </cell>
        </row>
        <row r="368">
          <cell r="A368">
            <v>19526</v>
          </cell>
          <cell r="B368" t="str">
            <v>2026-05-07 00:00:00</v>
          </cell>
          <cell r="Q368" t="str">
            <v>1128047454</v>
          </cell>
          <cell r="R368" t="str">
            <v>DIAZ SUAZA FELIPE AUGUSTO</v>
          </cell>
          <cell r="Z368" t="str">
            <v>12726</v>
          </cell>
          <cell r="AG368" t="str">
            <v>OTRAS AUTORIZACIONES ESPECIALES</v>
          </cell>
          <cell r="AH368" t="str">
            <v>136584/2026</v>
          </cell>
        </row>
        <row r="369">
          <cell r="A369">
            <v>19626</v>
          </cell>
          <cell r="B369" t="str">
            <v>2026-05-08 00:00:00</v>
          </cell>
          <cell r="Q369" t="str">
            <v>79459578</v>
          </cell>
          <cell r="R369" t="str">
            <v>CONTRERAS FUSET SADI ALFONSO</v>
          </cell>
          <cell r="Z369" t="str">
            <v>7726</v>
          </cell>
          <cell r="AG369" t="str">
            <v>ACTA</v>
          </cell>
          <cell r="AH369" t="str">
            <v>1567/2026</v>
          </cell>
        </row>
        <row r="370">
          <cell r="A370">
            <v>19726</v>
          </cell>
          <cell r="B370" t="str">
            <v>2026-05-08 00:00:00</v>
          </cell>
          <cell r="Q370" t="str">
            <v>16734378</v>
          </cell>
          <cell r="R370" t="str">
            <v>MENDOZA GARCIA JULIO CESAR</v>
          </cell>
          <cell r="Z370" t="str">
            <v>7726</v>
          </cell>
          <cell r="AG370" t="str">
            <v>ACTA</v>
          </cell>
          <cell r="AH370" t="str">
            <v>1563/2026</v>
          </cell>
        </row>
        <row r="371">
          <cell r="A371">
            <v>19826</v>
          </cell>
          <cell r="B371" t="str">
            <v>2026-05-08 00:00:00</v>
          </cell>
          <cell r="Q371" t="str">
            <v>1019105701</v>
          </cell>
          <cell r="R371" t="str">
            <v>BALDRICH MORA VICTOR ALONSO</v>
          </cell>
          <cell r="Z371" t="str">
            <v>7726</v>
          </cell>
          <cell r="AG371" t="str">
            <v>ACTA</v>
          </cell>
          <cell r="AH371" t="str">
            <v>1567/2026</v>
          </cell>
        </row>
        <row r="372">
          <cell r="A372">
            <v>19926</v>
          </cell>
          <cell r="B372" t="str">
            <v>2026-05-08 00:00:00</v>
          </cell>
          <cell r="Q372" t="str">
            <v>1018468113</v>
          </cell>
          <cell r="R372" t="str">
            <v>PUERTO GARCIA LUIS FELIPE</v>
          </cell>
          <cell r="Z372" t="str">
            <v>7726</v>
          </cell>
          <cell r="AG372" t="str">
            <v>ACTA</v>
          </cell>
          <cell r="AH372" t="str">
            <v>1567/2026</v>
          </cell>
        </row>
        <row r="373">
          <cell r="A373">
            <v>20026</v>
          </cell>
          <cell r="B373" t="str">
            <v>2026-05-08 00:00:00</v>
          </cell>
          <cell r="Q373" t="str">
            <v>1026264211</v>
          </cell>
          <cell r="R373" t="str">
            <v>SANDOVAL PEÑA VICTOR ANDRES</v>
          </cell>
          <cell r="Z373" t="str">
            <v>7726</v>
          </cell>
          <cell r="AG373" t="str">
            <v>ACTA</v>
          </cell>
          <cell r="AH373" t="str">
            <v>1567/2026</v>
          </cell>
        </row>
        <row r="374">
          <cell r="A374">
            <v>20126</v>
          </cell>
          <cell r="B374" t="str">
            <v>2026-05-11 00:00:00</v>
          </cell>
          <cell r="Q374" t="str">
            <v>10143555</v>
          </cell>
          <cell r="R374" t="str">
            <v>VERA SANCHEZ MAURICIO</v>
          </cell>
          <cell r="Z374" t="str">
            <v>7726</v>
          </cell>
          <cell r="AG374" t="str">
            <v>ACTA</v>
          </cell>
          <cell r="AH374" t="str">
            <v>1567/2026</v>
          </cell>
        </row>
        <row r="375">
          <cell r="A375">
            <v>20226</v>
          </cell>
          <cell r="B375" t="str">
            <v>2026-05-12 00:00:00</v>
          </cell>
          <cell r="Q375" t="str">
            <v>52455955</v>
          </cell>
          <cell r="R375" t="str">
            <v>VELEZ MARROQUIN CARMEN PAOLA</v>
          </cell>
          <cell r="Z375" t="str">
            <v>12826</v>
          </cell>
          <cell r="AG375" t="str">
            <v>OTRAS AUTORIZACIONES ESPECIALES</v>
          </cell>
          <cell r="AH375" t="str">
            <v>137017/2026</v>
          </cell>
        </row>
        <row r="376">
          <cell r="A376">
            <v>20326</v>
          </cell>
          <cell r="B376" t="str">
            <v>2026-05-13 00:00:00</v>
          </cell>
          <cell r="Q376" t="str">
            <v>900516872</v>
          </cell>
          <cell r="R376" t="str">
            <v>EDIFICIO LINK 7-60</v>
          </cell>
          <cell r="Z376" t="str">
            <v>126</v>
          </cell>
          <cell r="AG376" t="str">
            <v>FACTURA</v>
          </cell>
          <cell r="AH376" t="str">
            <v>LK7715/2026</v>
          </cell>
        </row>
        <row r="377">
          <cell r="A377">
            <v>20426</v>
          </cell>
          <cell r="B377" t="str">
            <v>2026-05-13 00:00:00</v>
          </cell>
          <cell r="Q377" t="str">
            <v>899999061</v>
          </cell>
          <cell r="R377" t="str">
            <v>BOGOTA DISTRITO CAPITAL</v>
          </cell>
          <cell r="Z377" t="str">
            <v>13126</v>
          </cell>
          <cell r="AG377" t="str">
            <v>FACTURA</v>
          </cell>
          <cell r="AH377" t="str">
            <v>2026003040142841550</v>
          </cell>
        </row>
        <row r="378">
          <cell r="A378">
            <v>20526</v>
          </cell>
          <cell r="B378" t="str">
            <v>2026-05-14 00:00:00</v>
          </cell>
          <cell r="Q378" t="str">
            <v>830002593</v>
          </cell>
          <cell r="R378" t="str">
            <v>COMISION DE REGULACION DE COMUNICACIONES</v>
          </cell>
          <cell r="Z378" t="str">
            <v>326</v>
          </cell>
          <cell r="AG378" t="str">
            <v>NOMINA</v>
          </cell>
          <cell r="AH378" t="str">
            <v>MAYO/2026</v>
          </cell>
        </row>
        <row r="379">
          <cell r="A379">
            <v>20526</v>
          </cell>
          <cell r="B379" t="str">
            <v>2026-05-14 00:00:00</v>
          </cell>
          <cell r="Q379" t="str">
            <v>830002593</v>
          </cell>
          <cell r="R379" t="str">
            <v>COMISION DE REGULACION DE COMUNICACIONES</v>
          </cell>
          <cell r="Z379" t="str">
            <v>326</v>
          </cell>
          <cell r="AG379" t="str">
            <v>NOMINA</v>
          </cell>
          <cell r="AH379" t="str">
            <v>MAYO/2026</v>
          </cell>
        </row>
        <row r="380">
          <cell r="A380">
            <v>20526</v>
          </cell>
          <cell r="B380" t="str">
            <v>2026-05-14 00:00:00</v>
          </cell>
          <cell r="Q380" t="str">
            <v>830002593</v>
          </cell>
          <cell r="R380" t="str">
            <v>COMISION DE REGULACION DE COMUNICACIONES</v>
          </cell>
          <cell r="Z380" t="str">
            <v>326</v>
          </cell>
          <cell r="AG380" t="str">
            <v>NOMINA</v>
          </cell>
          <cell r="AH380" t="str">
            <v>MAYO/2026</v>
          </cell>
        </row>
        <row r="381">
          <cell r="A381">
            <v>20526</v>
          </cell>
          <cell r="B381" t="str">
            <v>2026-05-14 00:00:00</v>
          </cell>
          <cell r="Q381" t="str">
            <v>830002593</v>
          </cell>
          <cell r="R381" t="str">
            <v>COMISION DE REGULACION DE COMUNICACIONES</v>
          </cell>
          <cell r="Z381" t="str">
            <v>326</v>
          </cell>
          <cell r="AG381" t="str">
            <v>NOMINA</v>
          </cell>
          <cell r="AH381" t="str">
            <v>MAYO/2026</v>
          </cell>
        </row>
        <row r="382">
          <cell r="A382">
            <v>20526</v>
          </cell>
          <cell r="B382" t="str">
            <v>2026-05-14 00:00:00</v>
          </cell>
          <cell r="Q382" t="str">
            <v>830002593</v>
          </cell>
          <cell r="R382" t="str">
            <v>COMISION DE REGULACION DE COMUNICACIONES</v>
          </cell>
          <cell r="Z382" t="str">
            <v>326</v>
          </cell>
          <cell r="AG382" t="str">
            <v>NOMINA</v>
          </cell>
          <cell r="AH382" t="str">
            <v>MAYO/2026</v>
          </cell>
        </row>
        <row r="383">
          <cell r="A383">
            <v>20526</v>
          </cell>
          <cell r="B383" t="str">
            <v>2026-05-14 00:00:00</v>
          </cell>
          <cell r="Q383" t="str">
            <v>830002593</v>
          </cell>
          <cell r="R383" t="str">
            <v>COMISION DE REGULACION DE COMUNICACIONES</v>
          </cell>
          <cell r="Z383" t="str">
            <v>326</v>
          </cell>
          <cell r="AG383" t="str">
            <v>NOMINA</v>
          </cell>
          <cell r="AH383" t="str">
            <v>MAYO/2026</v>
          </cell>
        </row>
        <row r="384">
          <cell r="A384">
            <v>20526</v>
          </cell>
          <cell r="B384" t="str">
            <v>2026-05-14 00:00:00</v>
          </cell>
          <cell r="Q384" t="str">
            <v>830002593</v>
          </cell>
          <cell r="R384" t="str">
            <v>COMISION DE REGULACION DE COMUNICACIONES</v>
          </cell>
          <cell r="Z384" t="str">
            <v>326</v>
          </cell>
          <cell r="AG384" t="str">
            <v>NOMINA</v>
          </cell>
          <cell r="AH384" t="str">
            <v>MAYO/2026</v>
          </cell>
        </row>
        <row r="385">
          <cell r="A385">
            <v>20526</v>
          </cell>
          <cell r="B385" t="str">
            <v>2026-05-14 00:00:00</v>
          </cell>
          <cell r="Q385" t="str">
            <v>830002593</v>
          </cell>
          <cell r="R385" t="str">
            <v>COMISION DE REGULACION DE COMUNICACIONES</v>
          </cell>
          <cell r="Z385" t="str">
            <v>326</v>
          </cell>
          <cell r="AG385" t="str">
            <v>NOMINA</v>
          </cell>
          <cell r="AH385" t="str">
            <v>MAYO/2026</v>
          </cell>
        </row>
        <row r="386">
          <cell r="A386">
            <v>20526</v>
          </cell>
          <cell r="B386" t="str">
            <v>2026-05-14 00:00:00</v>
          </cell>
          <cell r="Q386" t="str">
            <v>830002593</v>
          </cell>
          <cell r="R386" t="str">
            <v>COMISION DE REGULACION DE COMUNICACIONES</v>
          </cell>
          <cell r="Z386" t="str">
            <v>326</v>
          </cell>
          <cell r="AG386" t="str">
            <v>NOMINA</v>
          </cell>
          <cell r="AH386" t="str">
            <v>MAYO/2026</v>
          </cell>
        </row>
        <row r="387">
          <cell r="A387">
            <v>20526</v>
          </cell>
          <cell r="B387" t="str">
            <v>2026-05-14 00:00:00</v>
          </cell>
          <cell r="Q387" t="str">
            <v>830002593</v>
          </cell>
          <cell r="R387" t="str">
            <v>COMISION DE REGULACION DE COMUNICACIONES</v>
          </cell>
          <cell r="Z387" t="str">
            <v>326</v>
          </cell>
          <cell r="AG387" t="str">
            <v>NOMINA</v>
          </cell>
          <cell r="AH387" t="str">
            <v>MAYO/2026</v>
          </cell>
        </row>
        <row r="388">
          <cell r="A388">
            <v>20526</v>
          </cell>
          <cell r="B388" t="str">
            <v>2026-05-14 00:00:00</v>
          </cell>
          <cell r="Q388" t="str">
            <v>830002593</v>
          </cell>
          <cell r="R388" t="str">
            <v>COMISION DE REGULACION DE COMUNICACIONES</v>
          </cell>
          <cell r="Z388" t="str">
            <v>326</v>
          </cell>
          <cell r="AG388" t="str">
            <v>NOMINA</v>
          </cell>
          <cell r="AH388" t="str">
            <v>MAYO/2026</v>
          </cell>
        </row>
        <row r="389">
          <cell r="A389">
            <v>20526</v>
          </cell>
          <cell r="B389" t="str">
            <v>2026-05-14 00:00:00</v>
          </cell>
          <cell r="Q389" t="str">
            <v>830002593</v>
          </cell>
          <cell r="R389" t="str">
            <v>COMISION DE REGULACION DE COMUNICACIONES</v>
          </cell>
          <cell r="Z389" t="str">
            <v>326</v>
          </cell>
          <cell r="AG389" t="str">
            <v>NOMINA</v>
          </cell>
          <cell r="AH389" t="str">
            <v>MAYO/2026</v>
          </cell>
        </row>
        <row r="390">
          <cell r="A390">
            <v>20626</v>
          </cell>
          <cell r="B390" t="str">
            <v>2026-05-15 00:00:00</v>
          </cell>
          <cell r="Q390" t="str">
            <v>830002593</v>
          </cell>
          <cell r="R390" t="str">
            <v>COMISION DE REGULACION DE COMUNICACIONES</v>
          </cell>
          <cell r="Z390" t="str">
            <v>13326</v>
          </cell>
          <cell r="AG390" t="str">
            <v>RESOLUCION</v>
          </cell>
          <cell r="AH390" t="str">
            <v>205/2026</v>
          </cell>
        </row>
        <row r="391">
          <cell r="A391">
            <v>20626</v>
          </cell>
          <cell r="B391" t="str">
            <v>2026-05-15 00:00:00</v>
          </cell>
          <cell r="Q391" t="str">
            <v>830002593</v>
          </cell>
          <cell r="R391" t="str">
            <v>COMISION DE REGULACION DE COMUNICACIONES</v>
          </cell>
          <cell r="Z391" t="str">
            <v>13326</v>
          </cell>
          <cell r="AG391" t="str">
            <v>RESOLUCION</v>
          </cell>
          <cell r="AH391" t="str">
            <v>205/2026</v>
          </cell>
        </row>
        <row r="392">
          <cell r="A392">
            <v>20626</v>
          </cell>
          <cell r="B392" t="str">
            <v>2026-05-15 00:00:00</v>
          </cell>
          <cell r="Q392" t="str">
            <v>830002593</v>
          </cell>
          <cell r="R392" t="str">
            <v>COMISION DE REGULACION DE COMUNICACIONES</v>
          </cell>
          <cell r="Z392" t="str">
            <v>13326</v>
          </cell>
          <cell r="AG392" t="str">
            <v>RESOLUCION</v>
          </cell>
          <cell r="AH392" t="str">
            <v>205/2026</v>
          </cell>
        </row>
        <row r="393">
          <cell r="A393">
            <v>20726</v>
          </cell>
          <cell r="B393" t="str">
            <v>2026-05-19 00:00:00</v>
          </cell>
          <cell r="Q393" t="str">
            <v>10143555</v>
          </cell>
          <cell r="R393" t="str">
            <v>VERA SANCHEZ MAURICIO</v>
          </cell>
          <cell r="Z393" t="str">
            <v>12926</v>
          </cell>
          <cell r="AG393" t="str">
            <v>OTRAS AUTORIZACIONES ESPECIALES</v>
          </cell>
          <cell r="AH393" t="str">
            <v>137268/2026</v>
          </cell>
        </row>
        <row r="394">
          <cell r="A394">
            <v>20826</v>
          </cell>
          <cell r="B394" t="str">
            <v>2026-05-19 00:00:00</v>
          </cell>
          <cell r="Q394" t="str">
            <v>92541020</v>
          </cell>
          <cell r="R394" t="str">
            <v>DURAN DAJUD MIGUEL ANDRES</v>
          </cell>
          <cell r="Z394" t="str">
            <v>13026</v>
          </cell>
          <cell r="AG394" t="str">
            <v>OTRAS AUTORIZACIONES ESPECIALES</v>
          </cell>
          <cell r="AH394" t="str">
            <v>137358/2026</v>
          </cell>
        </row>
        <row r="395">
          <cell r="A395">
            <v>20926</v>
          </cell>
          <cell r="B395" t="str">
            <v>2026-05-21 00:00:00</v>
          </cell>
          <cell r="Q395" t="str">
            <v>860002503</v>
          </cell>
          <cell r="R395" t="str">
            <v>COMPAÑIA DE SEGUROS BOLIVAR S A TAMBIEN PODRA GIRAR BAJO LA DENOMINACION SEGUROS BOLIVAR S A</v>
          </cell>
          <cell r="Z395" t="str">
            <v>7526</v>
          </cell>
          <cell r="AG395" t="str">
            <v>PLANILLA SEGURIDAD SOCIAL</v>
          </cell>
          <cell r="AH395" t="str">
            <v>85789032</v>
          </cell>
        </row>
        <row r="396">
          <cell r="A396">
            <v>21026</v>
          </cell>
          <cell r="B396" t="str">
            <v>2026-05-21 00:00:00</v>
          </cell>
          <cell r="Q396" t="str">
            <v>79459578</v>
          </cell>
          <cell r="R396" t="str">
            <v>CONTRERAS FUSET SADI ALFONSO</v>
          </cell>
          <cell r="Z396" t="str">
            <v>7726</v>
          </cell>
          <cell r="AG396" t="str">
            <v>ACTA</v>
          </cell>
          <cell r="AH396" t="str">
            <v>1569/2026</v>
          </cell>
        </row>
        <row r="397">
          <cell r="A397">
            <v>21126</v>
          </cell>
          <cell r="B397" t="str">
            <v>2026-05-25 00:00:00</v>
          </cell>
          <cell r="Q397" t="str">
            <v>830100700</v>
          </cell>
          <cell r="R397" t="str">
            <v>BRANDSTRAT BIC S.A.S</v>
          </cell>
          <cell r="Z397" t="str">
            <v>10826</v>
          </cell>
          <cell r="AG397" t="str">
            <v>CONTRATO DE CONSULTORIA</v>
          </cell>
          <cell r="AH397" t="str">
            <v>73/2026</v>
          </cell>
        </row>
        <row r="398">
          <cell r="A398">
            <v>21226</v>
          </cell>
          <cell r="B398" t="str">
            <v>2026-05-26 00:00:00</v>
          </cell>
          <cell r="Q398" t="str">
            <v>899999284</v>
          </cell>
          <cell r="R398" t="str">
            <v>FONDO NACIONAL DEL AHORRO S.A.</v>
          </cell>
          <cell r="Z398" t="str">
            <v>426</v>
          </cell>
          <cell r="AG398" t="str">
            <v>NOMINA</v>
          </cell>
          <cell r="AH398" t="str">
            <v>MAYO/2026</v>
          </cell>
        </row>
        <row r="399">
          <cell r="A399">
            <v>21326</v>
          </cell>
          <cell r="B399" t="str">
            <v>2026-05-26 00:00:00</v>
          </cell>
          <cell r="Q399" t="str">
            <v>800197268</v>
          </cell>
          <cell r="R399" t="str">
            <v>U.A.E. DIRECCION DE IMPUESTOS Y ADUANAS NACIONALES</v>
          </cell>
          <cell r="Z399" t="str">
            <v>326</v>
          </cell>
          <cell r="AG399" t="str">
            <v>SOLICITUD</v>
          </cell>
          <cell r="AH399" t="str">
            <v>TESORERIA CRC</v>
          </cell>
        </row>
        <row r="400">
          <cell r="A400">
            <v>21426</v>
          </cell>
          <cell r="B400" t="str">
            <v>2026-05-26 00:00:00</v>
          </cell>
          <cell r="Q400" t="str">
            <v>830002593</v>
          </cell>
          <cell r="R400" t="str">
            <v>COMISION DE REGULACION DE COMUNICACIONES</v>
          </cell>
          <cell r="Z400" t="str">
            <v>426</v>
          </cell>
          <cell r="AG400" t="str">
            <v>NOMINA</v>
          </cell>
          <cell r="AH400" t="str">
            <v>MAYO 2026</v>
          </cell>
        </row>
        <row r="401">
          <cell r="A401">
            <v>21426</v>
          </cell>
          <cell r="B401" t="str">
            <v>2026-05-26 00:00:00</v>
          </cell>
          <cell r="Q401" t="str">
            <v>830002593</v>
          </cell>
          <cell r="R401" t="str">
            <v>COMISION DE REGULACION DE COMUNICACIONES</v>
          </cell>
          <cell r="Z401" t="str">
            <v>426</v>
          </cell>
          <cell r="AG401" t="str">
            <v>NOMINA</v>
          </cell>
          <cell r="AH401" t="str">
            <v>MAYO 2026</v>
          </cell>
        </row>
        <row r="402">
          <cell r="A402">
            <v>21426</v>
          </cell>
          <cell r="B402" t="str">
            <v>2026-05-26 00:00:00</v>
          </cell>
          <cell r="Q402" t="str">
            <v>830002593</v>
          </cell>
          <cell r="R402" t="str">
            <v>COMISION DE REGULACION DE COMUNICACIONES</v>
          </cell>
          <cell r="Z402" t="str">
            <v>426</v>
          </cell>
          <cell r="AG402" t="str">
            <v>NOMINA</v>
          </cell>
          <cell r="AH402" t="str">
            <v>MAYO 2026</v>
          </cell>
        </row>
        <row r="403">
          <cell r="A403">
            <v>21426</v>
          </cell>
          <cell r="B403" t="str">
            <v>2026-05-26 00:00:00</v>
          </cell>
          <cell r="Q403" t="str">
            <v>830002593</v>
          </cell>
          <cell r="R403" t="str">
            <v>COMISION DE REGULACION DE COMUNICACIONES</v>
          </cell>
          <cell r="Z403" t="str">
            <v>426</v>
          </cell>
          <cell r="AG403" t="str">
            <v>NOMINA</v>
          </cell>
          <cell r="AH403" t="str">
            <v>MAYO 2026</v>
          </cell>
        </row>
        <row r="404">
          <cell r="A404">
            <v>21426</v>
          </cell>
          <cell r="B404" t="str">
            <v>2026-05-26 00:00:00</v>
          </cell>
          <cell r="Q404" t="str">
            <v>830002593</v>
          </cell>
          <cell r="R404" t="str">
            <v>COMISION DE REGULACION DE COMUNICACIONES</v>
          </cell>
          <cell r="Z404" t="str">
            <v>426</v>
          </cell>
          <cell r="AG404" t="str">
            <v>NOMINA</v>
          </cell>
          <cell r="AH404" t="str">
            <v>MAYO 2026</v>
          </cell>
        </row>
        <row r="405">
          <cell r="A405">
            <v>21426</v>
          </cell>
          <cell r="B405" t="str">
            <v>2026-05-26 00:00:00</v>
          </cell>
          <cell r="Q405" t="str">
            <v>830002593</v>
          </cell>
          <cell r="R405" t="str">
            <v>COMISION DE REGULACION DE COMUNICACIONES</v>
          </cell>
          <cell r="Z405" t="str">
            <v>426</v>
          </cell>
          <cell r="AG405" t="str">
            <v>NOMINA</v>
          </cell>
          <cell r="AH405" t="str">
            <v>MAYO 2026</v>
          </cell>
        </row>
        <row r="406">
          <cell r="A406">
            <v>21526</v>
          </cell>
          <cell r="B406" t="str">
            <v>2026-05-26 00:00:00</v>
          </cell>
          <cell r="Q406" t="str">
            <v>800197268</v>
          </cell>
          <cell r="R406" t="str">
            <v>U.A.E. DIRECCION DE IMPUESTOS Y ADUANAS NACIONALES</v>
          </cell>
          <cell r="Z406" t="str">
            <v>426</v>
          </cell>
          <cell r="AG406" t="str">
            <v>SOLICITUD</v>
          </cell>
          <cell r="AH406" t="str">
            <v>TESORERIA CRC</v>
          </cell>
        </row>
        <row r="407">
          <cell r="A407">
            <v>21526</v>
          </cell>
          <cell r="B407" t="str">
            <v>2026-05-26 00:00:00</v>
          </cell>
          <cell r="Q407" t="str">
            <v>800197268</v>
          </cell>
          <cell r="R407" t="str">
            <v>U.A.E. DIRECCION DE IMPUESTOS Y ADUANAS NACIONALES</v>
          </cell>
          <cell r="Z407" t="str">
            <v>426</v>
          </cell>
          <cell r="AG407" t="str">
            <v>SOLICITUD</v>
          </cell>
          <cell r="AH407" t="str">
            <v>TESORERIA CRC</v>
          </cell>
        </row>
        <row r="408">
          <cell r="A408">
            <v>21526</v>
          </cell>
          <cell r="B408" t="str">
            <v>2026-05-26 00:00:00</v>
          </cell>
          <cell r="Q408" t="str">
            <v>800197268</v>
          </cell>
          <cell r="R408" t="str">
            <v>U.A.E. DIRECCION DE IMPUESTOS Y ADUANAS NACIONALES</v>
          </cell>
          <cell r="Z408" t="str">
            <v>426</v>
          </cell>
          <cell r="AG408" t="str">
            <v>SOLICITUD</v>
          </cell>
          <cell r="AH408" t="str">
            <v>TESORERIA CRC</v>
          </cell>
        </row>
        <row r="409">
          <cell r="A409">
            <v>21526</v>
          </cell>
          <cell r="B409" t="str">
            <v>2026-05-26 00:00:00</v>
          </cell>
          <cell r="Q409" t="str">
            <v>800197268</v>
          </cell>
          <cell r="R409" t="str">
            <v>U.A.E. DIRECCION DE IMPUESTOS Y ADUANAS NACIONALES</v>
          </cell>
          <cell r="Z409" t="str">
            <v>426</v>
          </cell>
          <cell r="AG409" t="str">
            <v>SOLICITUD</v>
          </cell>
          <cell r="AH409" t="str">
            <v>TESORERIA CRC</v>
          </cell>
        </row>
        <row r="410">
          <cell r="A410">
            <v>21526</v>
          </cell>
          <cell r="B410" t="str">
            <v>2026-05-26 00:00:00</v>
          </cell>
          <cell r="Q410" t="str">
            <v>800197268</v>
          </cell>
          <cell r="R410" t="str">
            <v>U.A.E. DIRECCION DE IMPUESTOS Y ADUANAS NACIONALES</v>
          </cell>
          <cell r="Z410" t="str">
            <v>426</v>
          </cell>
          <cell r="AG410" t="str">
            <v>SOLICITUD</v>
          </cell>
          <cell r="AH410" t="str">
            <v>TESORERIA CRC</v>
          </cell>
        </row>
        <row r="411">
          <cell r="A411">
            <v>21526</v>
          </cell>
          <cell r="B411" t="str">
            <v>2026-05-26 00:00:00</v>
          </cell>
          <cell r="Q411" t="str">
            <v>800197268</v>
          </cell>
          <cell r="R411" t="str">
            <v>U.A.E. DIRECCION DE IMPUESTOS Y ADUANAS NACIONALES</v>
          </cell>
          <cell r="Z411" t="str">
            <v>426</v>
          </cell>
          <cell r="AG411" t="str">
            <v>SOLICITUD</v>
          </cell>
          <cell r="AH411" t="str">
            <v>TESORERIA CRC</v>
          </cell>
        </row>
        <row r="412">
          <cell r="A412">
            <v>21626</v>
          </cell>
          <cell r="B412" t="str">
            <v>2026-05-26 00:00:00</v>
          </cell>
          <cell r="Q412" t="str">
            <v>800197268</v>
          </cell>
          <cell r="R412" t="str">
            <v>U.A.E. DIRECCION DE IMPUESTOS Y ADUANAS NACIONALES</v>
          </cell>
          <cell r="Z412" t="str">
            <v>13726</v>
          </cell>
          <cell r="AG412" t="str">
            <v>SOLICITUD</v>
          </cell>
          <cell r="AH412" t="str">
            <v>TESORERIA CRC</v>
          </cell>
        </row>
        <row r="413">
          <cell r="A413">
            <v>21726</v>
          </cell>
          <cell r="B413" t="str">
            <v>2026-05-26 00:00:00</v>
          </cell>
          <cell r="Q413" t="str">
            <v>800197268</v>
          </cell>
          <cell r="R413" t="str">
            <v>U.A.E. DIRECCION DE IMPUESTOS Y ADUANAS NACIONALES</v>
          </cell>
          <cell r="Z413" t="str">
            <v>13826</v>
          </cell>
          <cell r="AG413" t="str">
            <v>SOLICITUD</v>
          </cell>
          <cell r="AH413" t="str">
            <v>TESORERIA CRC</v>
          </cell>
        </row>
        <row r="414">
          <cell r="A414">
            <v>21726</v>
          </cell>
          <cell r="B414" t="str">
            <v>2026-05-26 00:00:00</v>
          </cell>
          <cell r="Q414" t="str">
            <v>800197268</v>
          </cell>
          <cell r="R414" t="str">
            <v>U.A.E. DIRECCION DE IMPUESTOS Y ADUANAS NACIONALES</v>
          </cell>
          <cell r="Z414" t="str">
            <v>13826</v>
          </cell>
          <cell r="AG414" t="str">
            <v>SOLICITUD</v>
          </cell>
          <cell r="AH414" t="str">
            <v>TESORERIA CRC</v>
          </cell>
        </row>
        <row r="415">
          <cell r="A415">
            <v>21726</v>
          </cell>
          <cell r="B415" t="str">
            <v>2026-05-26 00:00:00</v>
          </cell>
          <cell r="Q415" t="str">
            <v>800197268</v>
          </cell>
          <cell r="R415" t="str">
            <v>U.A.E. DIRECCION DE IMPUESTOS Y ADUANAS NACIONALES</v>
          </cell>
          <cell r="Z415" t="str">
            <v>13826</v>
          </cell>
          <cell r="AG415" t="str">
            <v>SOLICITUD</v>
          </cell>
          <cell r="AH415" t="str">
            <v>TESORERIA CRC</v>
          </cell>
        </row>
        <row r="416">
          <cell r="A416">
            <v>21726</v>
          </cell>
          <cell r="B416" t="str">
            <v>2026-05-26 00:00:00</v>
          </cell>
          <cell r="Q416" t="str">
            <v>800197268</v>
          </cell>
          <cell r="R416" t="str">
            <v>U.A.E. DIRECCION DE IMPUESTOS Y ADUANAS NACIONALES</v>
          </cell>
          <cell r="Z416" t="str">
            <v>13826</v>
          </cell>
          <cell r="AG416" t="str">
            <v>SOLICITUD</v>
          </cell>
          <cell r="AH416" t="str">
            <v>TESORERIA CRC</v>
          </cell>
        </row>
        <row r="417">
          <cell r="A417">
            <v>21726</v>
          </cell>
          <cell r="B417" t="str">
            <v>2026-05-26 00:00:00</v>
          </cell>
          <cell r="Q417" t="str">
            <v>800197268</v>
          </cell>
          <cell r="R417" t="str">
            <v>U.A.E. DIRECCION DE IMPUESTOS Y ADUANAS NACIONALES</v>
          </cell>
          <cell r="Z417" t="str">
            <v>13826</v>
          </cell>
          <cell r="AG417" t="str">
            <v>SOLICITUD</v>
          </cell>
          <cell r="AH417" t="str">
            <v>TESORERIA CRC</v>
          </cell>
        </row>
        <row r="418">
          <cell r="A418">
            <v>21726</v>
          </cell>
          <cell r="B418" t="str">
            <v>2026-05-26 00:00:00</v>
          </cell>
          <cell r="Q418" t="str">
            <v>800197268</v>
          </cell>
          <cell r="R418" t="str">
            <v>U.A.E. DIRECCION DE IMPUESTOS Y ADUANAS NACIONALES</v>
          </cell>
          <cell r="Z418" t="str">
            <v>13826</v>
          </cell>
          <cell r="AG418" t="str">
            <v>SOLICITUD</v>
          </cell>
          <cell r="AH418" t="str">
            <v>TESORERIA CRC</v>
          </cell>
        </row>
        <row r="419">
          <cell r="A419">
            <v>21726</v>
          </cell>
          <cell r="B419" t="str">
            <v>2026-05-26 00:00:00</v>
          </cell>
          <cell r="Q419" t="str">
            <v>800197268</v>
          </cell>
          <cell r="R419" t="str">
            <v>U.A.E. DIRECCION DE IMPUESTOS Y ADUANAS NACIONALES</v>
          </cell>
          <cell r="Z419" t="str">
            <v>13826</v>
          </cell>
          <cell r="AG419" t="str">
            <v>SOLICITUD</v>
          </cell>
          <cell r="AH419" t="str">
            <v>TESORERIA CRC</v>
          </cell>
        </row>
        <row r="420">
          <cell r="A420">
            <v>21726</v>
          </cell>
          <cell r="B420" t="str">
            <v>2026-05-26 00:00:00</v>
          </cell>
          <cell r="Q420" t="str">
            <v>800197268</v>
          </cell>
          <cell r="R420" t="str">
            <v>U.A.E. DIRECCION DE IMPUESTOS Y ADUANAS NACIONALES</v>
          </cell>
          <cell r="Z420" t="str">
            <v>13826</v>
          </cell>
          <cell r="AG420" t="str">
            <v>SOLICITUD</v>
          </cell>
          <cell r="AH420" t="str">
            <v>TESORERIA CRC</v>
          </cell>
        </row>
        <row r="421">
          <cell r="A421">
            <v>21726</v>
          </cell>
          <cell r="B421" t="str">
            <v>2026-05-26 00:00:00</v>
          </cell>
          <cell r="Q421" t="str">
            <v>800197268</v>
          </cell>
          <cell r="R421" t="str">
            <v>U.A.E. DIRECCION DE IMPUESTOS Y ADUANAS NACIONALES</v>
          </cell>
          <cell r="Z421" t="str">
            <v>13826</v>
          </cell>
          <cell r="AG421" t="str">
            <v>SOLICITUD</v>
          </cell>
          <cell r="AH421" t="str">
            <v>TESORERIA CRC</v>
          </cell>
        </row>
        <row r="422">
          <cell r="A422">
            <v>21726</v>
          </cell>
          <cell r="B422" t="str">
            <v>2026-05-26 00:00:00</v>
          </cell>
          <cell r="Q422" t="str">
            <v>800197268</v>
          </cell>
          <cell r="R422" t="str">
            <v>U.A.E. DIRECCION DE IMPUESTOS Y ADUANAS NACIONALES</v>
          </cell>
          <cell r="Z422" t="str">
            <v>13826</v>
          </cell>
          <cell r="AG422" t="str">
            <v>SOLICITUD</v>
          </cell>
          <cell r="AH422" t="str">
            <v>TESORERIA CRC</v>
          </cell>
        </row>
        <row r="423">
          <cell r="A423">
            <v>21826</v>
          </cell>
          <cell r="B423" t="str">
            <v>2026-05-27 00:00:00</v>
          </cell>
          <cell r="Q423" t="str">
            <v>900003409</v>
          </cell>
          <cell r="R423" t="str">
            <v>COMISION NACIONAL DEL SERVICIO CIVIL</v>
          </cell>
          <cell r="Z423" t="str">
            <v>13926</v>
          </cell>
          <cell r="AG423" t="str">
            <v>RESOLUCION</v>
          </cell>
          <cell r="AH423" t="str">
            <v>CNSC 3505/2026</v>
          </cell>
        </row>
        <row r="424">
          <cell r="A424">
            <v>21926</v>
          </cell>
          <cell r="B424" t="str">
            <v>2026-05-29 00:00:00</v>
          </cell>
          <cell r="Q424" t="str">
            <v>52862292</v>
          </cell>
          <cell r="R424" t="str">
            <v>SARMIENTO ARGUELLO MARIANA</v>
          </cell>
          <cell r="Z424" t="str">
            <v>7726</v>
          </cell>
          <cell r="AG424" t="str">
            <v>ACTA</v>
          </cell>
          <cell r="AH424" t="str">
            <v>1570/2026</v>
          </cell>
        </row>
        <row r="425">
          <cell r="A425">
            <v>22026</v>
          </cell>
          <cell r="B425" t="str">
            <v>2026-06-01 00:00:00</v>
          </cell>
          <cell r="Q425" t="str">
            <v>1010024899</v>
          </cell>
          <cell r="R425" t="str">
            <v>DURAN ESPITIA DIEGO ALEJANDRO</v>
          </cell>
          <cell r="Z425" t="str">
            <v>7726</v>
          </cell>
          <cell r="AG425" t="str">
            <v>ACTA</v>
          </cell>
          <cell r="AH425" t="str">
            <v>1570/2026</v>
          </cell>
        </row>
        <row r="426">
          <cell r="A426">
            <v>22126</v>
          </cell>
          <cell r="B426" t="str">
            <v>2026-06-01 00:00:00</v>
          </cell>
          <cell r="Q426" t="str">
            <v>830002593</v>
          </cell>
          <cell r="R426" t="str">
            <v>COMISION DE REGULACION DE COMUNICACIONES</v>
          </cell>
          <cell r="Z426" t="str">
            <v>14126</v>
          </cell>
          <cell r="AG426" t="str">
            <v>RESOLUCION</v>
          </cell>
          <cell r="AH426" t="str">
            <v>245/2026</v>
          </cell>
        </row>
        <row r="427">
          <cell r="A427">
            <v>22126</v>
          </cell>
          <cell r="B427" t="str">
            <v>2026-06-01 00:00:00</v>
          </cell>
          <cell r="Q427" t="str">
            <v>830002593</v>
          </cell>
          <cell r="R427" t="str">
            <v>COMISION DE REGULACION DE COMUNICACIONES</v>
          </cell>
          <cell r="Z427" t="str">
            <v>14126</v>
          </cell>
          <cell r="AG427" t="str">
            <v>RESOLUCION</v>
          </cell>
          <cell r="AH427" t="str">
            <v>245/2026</v>
          </cell>
        </row>
        <row r="428">
          <cell r="A428">
            <v>22126</v>
          </cell>
          <cell r="B428" t="str">
            <v>2026-06-01 00:00:00</v>
          </cell>
          <cell r="Q428" t="str">
            <v>830002593</v>
          </cell>
          <cell r="R428" t="str">
            <v>COMISION DE REGULACION DE COMUNICACIONES</v>
          </cell>
          <cell r="Z428" t="str">
            <v>14126</v>
          </cell>
          <cell r="AG428" t="str">
            <v>RESOLUCION</v>
          </cell>
          <cell r="AH428" t="str">
            <v>245/2026</v>
          </cell>
        </row>
        <row r="429">
          <cell r="A429">
            <v>22226</v>
          </cell>
          <cell r="B429" t="str">
            <v>2026-06-01 00:00:00</v>
          </cell>
          <cell r="Q429" t="str">
            <v>901359468</v>
          </cell>
          <cell r="R429" t="str">
            <v>INFORMETRICS S.A.S BIC</v>
          </cell>
          <cell r="Z429" t="str">
            <v>10626</v>
          </cell>
          <cell r="AG429" t="str">
            <v>CONTRATO DE CONSULTORIA</v>
          </cell>
          <cell r="AH429" t="str">
            <v>74/2026</v>
          </cell>
        </row>
        <row r="430">
          <cell r="A430">
            <v>22326</v>
          </cell>
          <cell r="B430" t="str">
            <v>2026-06-02 00:00:00</v>
          </cell>
          <cell r="Q430" t="str">
            <v>16734378</v>
          </cell>
          <cell r="R430" t="str">
            <v>MENDOZA GARCIA JULIO CESAR</v>
          </cell>
          <cell r="Z430" t="str">
            <v>7726</v>
          </cell>
          <cell r="AG430" t="str">
            <v>ACTA</v>
          </cell>
          <cell r="AH430" t="str">
            <v>1567/2026</v>
          </cell>
        </row>
        <row r="431">
          <cell r="A431">
            <v>22426</v>
          </cell>
          <cell r="B431" t="str">
            <v>2026-06-02 00:00:00</v>
          </cell>
          <cell r="Q431" t="str">
            <v>10143555</v>
          </cell>
          <cell r="R431" t="str">
            <v>VERA SANCHEZ MAURICIO</v>
          </cell>
          <cell r="Z431" t="str">
            <v>7726</v>
          </cell>
          <cell r="AG431" t="str">
            <v>ACTA</v>
          </cell>
          <cell r="AH431" t="str">
            <v>1567/2026</v>
          </cell>
        </row>
        <row r="432">
          <cell r="A432">
            <v>22526</v>
          </cell>
          <cell r="B432" t="str">
            <v>2026-06-03 00:00:00</v>
          </cell>
          <cell r="Q432" t="str">
            <v>899999061</v>
          </cell>
          <cell r="R432" t="str">
            <v>BOGOTA DISTRITO CAPITAL</v>
          </cell>
          <cell r="Z432" t="str">
            <v>14326</v>
          </cell>
          <cell r="AG432" t="str">
            <v>FACTURA</v>
          </cell>
          <cell r="AH432" t="str">
            <v>2026001041843970734</v>
          </cell>
        </row>
        <row r="433">
          <cell r="A433">
            <v>22626</v>
          </cell>
          <cell r="B433" t="str">
            <v>2026-06-04 00:00:00</v>
          </cell>
          <cell r="Q433" t="str">
            <v>1032374398</v>
          </cell>
          <cell r="R433" t="str">
            <v>RODRIGUEZ TOLEDO MARIO ANDRES</v>
          </cell>
          <cell r="Z433" t="str">
            <v>13626</v>
          </cell>
          <cell r="AG433" t="str">
            <v>OTRAS AUTORIZACIONES ESPECIALES</v>
          </cell>
          <cell r="AH433" t="str">
            <v>138280/2026</v>
          </cell>
        </row>
        <row r="434">
          <cell r="A434">
            <v>22726</v>
          </cell>
          <cell r="B434" t="str">
            <v>2026-06-04 00:00:00</v>
          </cell>
          <cell r="Q434" t="str">
            <v>1000469587</v>
          </cell>
          <cell r="R434" t="str">
            <v>PERDOMO CAMARGO SANTIAGO</v>
          </cell>
          <cell r="Z434" t="str">
            <v>526</v>
          </cell>
          <cell r="AG434" t="str">
            <v>RESOLUCION</v>
          </cell>
          <cell r="AH434" t="str">
            <v>249/2026</v>
          </cell>
        </row>
        <row r="435">
          <cell r="A435">
            <v>22826</v>
          </cell>
          <cell r="B435" t="str">
            <v>2026-06-05 00:00:00</v>
          </cell>
          <cell r="Q435" t="str">
            <v>900516872</v>
          </cell>
          <cell r="R435" t="str">
            <v>EDIFICIO LINK 7-60</v>
          </cell>
          <cell r="Z435" t="str">
            <v>126</v>
          </cell>
          <cell r="AG435" t="str">
            <v>FACTURA</v>
          </cell>
          <cell r="AH435" t="str">
            <v>LK7762</v>
          </cell>
        </row>
        <row r="436">
          <cell r="A436">
            <v>22926</v>
          </cell>
          <cell r="B436" t="str">
            <v>2026-06-16 00:00:00</v>
          </cell>
          <cell r="Q436" t="str">
            <v>830002593</v>
          </cell>
          <cell r="R436" t="str">
            <v>COMISION DE REGULACION DE COMUNICACIONES</v>
          </cell>
          <cell r="Z436" t="str">
            <v>15026</v>
          </cell>
          <cell r="AG436" t="str">
            <v>RESOLUCION</v>
          </cell>
          <cell r="AH436" t="str">
            <v>268/2026</v>
          </cell>
        </row>
        <row r="437">
          <cell r="A437">
            <v>22926</v>
          </cell>
          <cell r="B437" t="str">
            <v>2026-06-16 00:00:00</v>
          </cell>
          <cell r="Q437" t="str">
            <v>830002593</v>
          </cell>
          <cell r="R437" t="str">
            <v>COMISION DE REGULACION DE COMUNICACIONES</v>
          </cell>
          <cell r="Z437" t="str">
            <v>15026</v>
          </cell>
          <cell r="AG437" t="str">
            <v>RESOLUCION</v>
          </cell>
          <cell r="AH437" t="str">
            <v>268/2026</v>
          </cell>
        </row>
        <row r="438">
          <cell r="A438">
            <v>22926</v>
          </cell>
          <cell r="B438" t="str">
            <v>2026-06-16 00:00:00</v>
          </cell>
          <cell r="Q438" t="str">
            <v>830002593</v>
          </cell>
          <cell r="R438" t="str">
            <v>COMISION DE REGULACION DE COMUNICACIONES</v>
          </cell>
          <cell r="Z438" t="str">
            <v>15026</v>
          </cell>
          <cell r="AG438" t="str">
            <v>RESOLUCION</v>
          </cell>
          <cell r="AH438" t="str">
            <v>268/2026</v>
          </cell>
        </row>
        <row r="439">
          <cell r="A439">
            <v>22926</v>
          </cell>
          <cell r="B439" t="str">
            <v>2026-06-16 00:00:00</v>
          </cell>
          <cell r="Q439" t="str">
            <v>830002593</v>
          </cell>
          <cell r="R439" t="str">
            <v>COMISION DE REGULACION DE COMUNICACIONES</v>
          </cell>
          <cell r="Z439" t="str">
            <v>15026</v>
          </cell>
          <cell r="AG439" t="str">
            <v>RESOLUCION</v>
          </cell>
          <cell r="AH439" t="str">
            <v>268/2026</v>
          </cell>
        </row>
        <row r="440">
          <cell r="A440">
            <v>23026</v>
          </cell>
          <cell r="B440" t="str">
            <v>2026-06-17 00:00:00</v>
          </cell>
          <cell r="Q440" t="str">
            <v>830002593</v>
          </cell>
          <cell r="R440" t="str">
            <v>COMISION DE REGULACION DE COMUNICACIONES</v>
          </cell>
          <cell r="Z440" t="str">
            <v>326</v>
          </cell>
          <cell r="AG440" t="str">
            <v>NOMINA</v>
          </cell>
          <cell r="AH440" t="str">
            <v>JUNIO/2026</v>
          </cell>
        </row>
        <row r="441">
          <cell r="A441">
            <v>23026</v>
          </cell>
          <cell r="B441" t="str">
            <v>2026-06-17 00:00:00</v>
          </cell>
          <cell r="Q441" t="str">
            <v>830002593</v>
          </cell>
          <cell r="R441" t="str">
            <v>COMISION DE REGULACION DE COMUNICACIONES</v>
          </cell>
          <cell r="Z441" t="str">
            <v>326</v>
          </cell>
          <cell r="AG441" t="str">
            <v>NOMINA</v>
          </cell>
          <cell r="AH441" t="str">
            <v>JUNIO/2026</v>
          </cell>
        </row>
        <row r="442">
          <cell r="A442">
            <v>23026</v>
          </cell>
          <cell r="B442" t="str">
            <v>2026-06-17 00:00:00</v>
          </cell>
          <cell r="Q442" t="str">
            <v>830002593</v>
          </cell>
          <cell r="R442" t="str">
            <v>COMISION DE REGULACION DE COMUNICACIONES</v>
          </cell>
          <cell r="Z442" t="str">
            <v>326</v>
          </cell>
          <cell r="AG442" t="str">
            <v>NOMINA</v>
          </cell>
          <cell r="AH442" t="str">
            <v>JUNIO/2026</v>
          </cell>
        </row>
        <row r="443">
          <cell r="A443">
            <v>23026</v>
          </cell>
          <cell r="B443" t="str">
            <v>2026-06-17 00:00:00</v>
          </cell>
          <cell r="Q443" t="str">
            <v>830002593</v>
          </cell>
          <cell r="R443" t="str">
            <v>COMISION DE REGULACION DE COMUNICACIONES</v>
          </cell>
          <cell r="Z443" t="str">
            <v>326</v>
          </cell>
          <cell r="AG443" t="str">
            <v>NOMINA</v>
          </cell>
          <cell r="AH443" t="str">
            <v>JUNIO/2026</v>
          </cell>
        </row>
        <row r="444">
          <cell r="A444">
            <v>23026</v>
          </cell>
          <cell r="B444" t="str">
            <v>2026-06-17 00:00:00</v>
          </cell>
          <cell r="Q444" t="str">
            <v>830002593</v>
          </cell>
          <cell r="R444" t="str">
            <v>COMISION DE REGULACION DE COMUNICACIONES</v>
          </cell>
          <cell r="Z444" t="str">
            <v>326</v>
          </cell>
          <cell r="AG444" t="str">
            <v>NOMINA</v>
          </cell>
          <cell r="AH444" t="str">
            <v>JUNIO/2026</v>
          </cell>
        </row>
        <row r="445">
          <cell r="A445">
            <v>23026</v>
          </cell>
          <cell r="B445" t="str">
            <v>2026-06-17 00:00:00</v>
          </cell>
          <cell r="Q445" t="str">
            <v>830002593</v>
          </cell>
          <cell r="R445" t="str">
            <v>COMISION DE REGULACION DE COMUNICACIONES</v>
          </cell>
          <cell r="Z445" t="str">
            <v>326</v>
          </cell>
          <cell r="AG445" t="str">
            <v>NOMINA</v>
          </cell>
          <cell r="AH445" t="str">
            <v>JUNIO/2026</v>
          </cell>
        </row>
        <row r="446">
          <cell r="A446">
            <v>23026</v>
          </cell>
          <cell r="B446" t="str">
            <v>2026-06-17 00:00:00</v>
          </cell>
          <cell r="Q446" t="str">
            <v>830002593</v>
          </cell>
          <cell r="R446" t="str">
            <v>COMISION DE REGULACION DE COMUNICACIONES</v>
          </cell>
          <cell r="Z446" t="str">
            <v>326</v>
          </cell>
          <cell r="AG446" t="str">
            <v>NOMINA</v>
          </cell>
          <cell r="AH446" t="str">
            <v>JUNIO/2026</v>
          </cell>
        </row>
        <row r="447">
          <cell r="A447">
            <v>23026</v>
          </cell>
          <cell r="B447" t="str">
            <v>2026-06-17 00:00:00</v>
          </cell>
          <cell r="Q447" t="str">
            <v>830002593</v>
          </cell>
          <cell r="R447" t="str">
            <v>COMISION DE REGULACION DE COMUNICACIONES</v>
          </cell>
          <cell r="Z447" t="str">
            <v>326</v>
          </cell>
          <cell r="AG447" t="str">
            <v>NOMINA</v>
          </cell>
          <cell r="AH447" t="str">
            <v>JUNIO/2026</v>
          </cell>
        </row>
        <row r="448">
          <cell r="A448">
            <v>23026</v>
          </cell>
          <cell r="B448" t="str">
            <v>2026-06-17 00:00:00</v>
          </cell>
          <cell r="Q448" t="str">
            <v>830002593</v>
          </cell>
          <cell r="R448" t="str">
            <v>COMISION DE REGULACION DE COMUNICACIONES</v>
          </cell>
          <cell r="Z448" t="str">
            <v>326</v>
          </cell>
          <cell r="AG448" t="str">
            <v>NOMINA</v>
          </cell>
          <cell r="AH448" t="str">
            <v>JUNIO/2026</v>
          </cell>
        </row>
        <row r="449">
          <cell r="A449">
            <v>23026</v>
          </cell>
          <cell r="B449" t="str">
            <v>2026-06-17 00:00:00</v>
          </cell>
          <cell r="Q449" t="str">
            <v>830002593</v>
          </cell>
          <cell r="R449" t="str">
            <v>COMISION DE REGULACION DE COMUNICACIONES</v>
          </cell>
          <cell r="Z449" t="str">
            <v>326</v>
          </cell>
          <cell r="AG449" t="str">
            <v>NOMINA</v>
          </cell>
          <cell r="AH449" t="str">
            <v>JUNIO/2026</v>
          </cell>
        </row>
        <row r="450">
          <cell r="A450">
            <v>23026</v>
          </cell>
          <cell r="B450" t="str">
            <v>2026-06-17 00:00:00</v>
          </cell>
          <cell r="Q450" t="str">
            <v>830002593</v>
          </cell>
          <cell r="R450" t="str">
            <v>COMISION DE REGULACION DE COMUNICACIONES</v>
          </cell>
          <cell r="Z450" t="str">
            <v>326</v>
          </cell>
          <cell r="AG450" t="str">
            <v>NOMINA</v>
          </cell>
          <cell r="AH450" t="str">
            <v>JUNIO/2026</v>
          </cell>
        </row>
        <row r="451">
          <cell r="A451">
            <v>23026</v>
          </cell>
          <cell r="B451" t="str">
            <v>2026-06-17 00:00:00</v>
          </cell>
          <cell r="Q451" t="str">
            <v>830002593</v>
          </cell>
          <cell r="R451" t="str">
            <v>COMISION DE REGULACION DE COMUNICACIONES</v>
          </cell>
          <cell r="Z451" t="str">
            <v>326</v>
          </cell>
          <cell r="AG451" t="str">
            <v>NOMINA</v>
          </cell>
          <cell r="AH451" t="str">
            <v>JUNIO/2026</v>
          </cell>
        </row>
        <row r="452">
          <cell r="A452">
            <v>23026</v>
          </cell>
          <cell r="B452" t="str">
            <v>2026-06-17 00:00:00</v>
          </cell>
          <cell r="Q452" t="str">
            <v>830002593</v>
          </cell>
          <cell r="R452" t="str">
            <v>COMISION DE REGULACION DE COMUNICACIONES</v>
          </cell>
          <cell r="Z452" t="str">
            <v>326</v>
          </cell>
          <cell r="AG452" t="str">
            <v>NOMINA</v>
          </cell>
          <cell r="AH452" t="str">
            <v>JUNIO/2026</v>
          </cell>
        </row>
        <row r="453">
          <cell r="A453">
            <v>23026</v>
          </cell>
          <cell r="B453" t="str">
            <v>2026-06-17 00:00:00</v>
          </cell>
          <cell r="Q453" t="str">
            <v>830002593</v>
          </cell>
          <cell r="R453" t="str">
            <v>COMISION DE REGULACION DE COMUNICACIONES</v>
          </cell>
          <cell r="Z453" t="str">
            <v>326</v>
          </cell>
          <cell r="AG453" t="str">
            <v>NOMINA</v>
          </cell>
          <cell r="AH453" t="str">
            <v>JUNIO/2026</v>
          </cell>
        </row>
        <row r="454">
          <cell r="A454">
            <v>23126</v>
          </cell>
          <cell r="B454" t="str">
            <v>2026-06-17 00:00:00</v>
          </cell>
          <cell r="Q454" t="str">
            <v>1128047454</v>
          </cell>
          <cell r="R454" t="str">
            <v>DIAZ SUAZA FELIPE AUGUSTO</v>
          </cell>
          <cell r="Z454" t="str">
            <v>14226</v>
          </cell>
          <cell r="AG454" t="str">
            <v>OTRAS AUTORIZACIONES ESPECIALES</v>
          </cell>
          <cell r="AH454" t="str">
            <v>138970/2026</v>
          </cell>
        </row>
        <row r="455">
          <cell r="A455">
            <v>23226</v>
          </cell>
          <cell r="B455" t="str">
            <v>2026-06-22 00:00:00</v>
          </cell>
          <cell r="Q455" t="str">
            <v>79459578</v>
          </cell>
          <cell r="R455" t="str">
            <v>CONTRERAS FUSET SADI ALFONSO</v>
          </cell>
          <cell r="Z455" t="str">
            <v>14526</v>
          </cell>
          <cell r="AG455" t="str">
            <v>OTRAS AUTORIZACIONES ESPECIALES</v>
          </cell>
          <cell r="AH455" t="str">
            <v>138978/2026</v>
          </cell>
        </row>
        <row r="456">
          <cell r="A456">
            <v>23326</v>
          </cell>
          <cell r="B456" t="str">
            <v>2026-06-22 00:00:00</v>
          </cell>
          <cell r="Q456" t="str">
            <v>79591976</v>
          </cell>
          <cell r="R456" t="str">
            <v>GUTIERREZ AFANADOR JAVIER</v>
          </cell>
          <cell r="Z456" t="str">
            <v>14626</v>
          </cell>
          <cell r="AG456" t="str">
            <v>OTRAS AUTORIZACIONES ESPECIALES</v>
          </cell>
          <cell r="AH456" t="str">
            <v>138972/2026</v>
          </cell>
        </row>
        <row r="457">
          <cell r="A457">
            <v>23426</v>
          </cell>
          <cell r="B457" t="str">
            <v>2026-06-22 00:00:00</v>
          </cell>
          <cell r="Q457" t="str">
            <v>10143555</v>
          </cell>
          <cell r="R457" t="str">
            <v>VERA SANCHEZ MAURICIO</v>
          </cell>
          <cell r="Z457" t="str">
            <v>14726</v>
          </cell>
          <cell r="AG457" t="str">
            <v>OTRAS AUTORIZACIONES ESPECIALES</v>
          </cell>
          <cell r="AH457" t="str">
            <v>139077/2026</v>
          </cell>
        </row>
        <row r="458">
          <cell r="A458">
            <v>23526</v>
          </cell>
          <cell r="B458" t="str">
            <v>2026-06-23 00:00:00</v>
          </cell>
          <cell r="Q458" t="str">
            <v>899999284</v>
          </cell>
          <cell r="R458" t="str">
            <v>FONDO NACIONAL DEL AHORRO S.A.</v>
          </cell>
          <cell r="Z458" t="str">
            <v>426</v>
          </cell>
          <cell r="AG458" t="str">
            <v>NOMINA</v>
          </cell>
          <cell r="AH458" t="str">
            <v>JUNIO/2026</v>
          </cell>
        </row>
        <row r="459">
          <cell r="A459">
            <v>23626</v>
          </cell>
          <cell r="B459" t="str">
            <v>2026-06-23 00:00:00</v>
          </cell>
          <cell r="Q459" t="str">
            <v>830002593</v>
          </cell>
          <cell r="R459" t="str">
            <v>COMISION DE REGULACION DE COMUNICACIONES</v>
          </cell>
          <cell r="Z459" t="str">
            <v>426</v>
          </cell>
          <cell r="AG459" t="str">
            <v>NOMINA</v>
          </cell>
          <cell r="AH459" t="str">
            <v>JUNIO 2026</v>
          </cell>
        </row>
        <row r="460">
          <cell r="A460">
            <v>23626</v>
          </cell>
          <cell r="B460" t="str">
            <v>2026-06-23 00:00:00</v>
          </cell>
          <cell r="Q460" t="str">
            <v>830002593</v>
          </cell>
          <cell r="R460" t="str">
            <v>COMISION DE REGULACION DE COMUNICACIONES</v>
          </cell>
          <cell r="Z460" t="str">
            <v>426</v>
          </cell>
          <cell r="AG460" t="str">
            <v>NOMINA</v>
          </cell>
          <cell r="AH460" t="str">
            <v>JUNIO 2026</v>
          </cell>
        </row>
        <row r="461">
          <cell r="A461">
            <v>23626</v>
          </cell>
          <cell r="B461" t="str">
            <v>2026-06-23 00:00:00</v>
          </cell>
          <cell r="Q461" t="str">
            <v>830002593</v>
          </cell>
          <cell r="R461" t="str">
            <v>COMISION DE REGULACION DE COMUNICACIONES</v>
          </cell>
          <cell r="Z461" t="str">
            <v>426</v>
          </cell>
          <cell r="AG461" t="str">
            <v>NOMINA</v>
          </cell>
          <cell r="AH461" t="str">
            <v>JUNIO 2026</v>
          </cell>
        </row>
        <row r="462">
          <cell r="A462">
            <v>23626</v>
          </cell>
          <cell r="B462" t="str">
            <v>2026-06-23 00:00:00</v>
          </cell>
          <cell r="Q462" t="str">
            <v>830002593</v>
          </cell>
          <cell r="R462" t="str">
            <v>COMISION DE REGULACION DE COMUNICACIONES</v>
          </cell>
          <cell r="Z462" t="str">
            <v>426</v>
          </cell>
          <cell r="AG462" t="str">
            <v>NOMINA</v>
          </cell>
          <cell r="AH462" t="str">
            <v>JUNIO 2026</v>
          </cell>
        </row>
        <row r="463">
          <cell r="A463">
            <v>23626</v>
          </cell>
          <cell r="B463" t="str">
            <v>2026-06-23 00:00:00</v>
          </cell>
          <cell r="Q463" t="str">
            <v>830002593</v>
          </cell>
          <cell r="R463" t="str">
            <v>COMISION DE REGULACION DE COMUNICACIONES</v>
          </cell>
          <cell r="Z463" t="str">
            <v>426</v>
          </cell>
          <cell r="AG463" t="str">
            <v>NOMINA</v>
          </cell>
          <cell r="AH463" t="str">
            <v>JUNIO 2026</v>
          </cell>
        </row>
        <row r="464">
          <cell r="A464">
            <v>23626</v>
          </cell>
          <cell r="B464" t="str">
            <v>2026-06-23 00:00:00</v>
          </cell>
          <cell r="Q464" t="str">
            <v>830002593</v>
          </cell>
          <cell r="R464" t="str">
            <v>COMISION DE REGULACION DE COMUNICACIONES</v>
          </cell>
          <cell r="Z464" t="str">
            <v>426</v>
          </cell>
          <cell r="AG464" t="str">
            <v>NOMINA</v>
          </cell>
          <cell r="AH464" t="str">
            <v>JUNIO 2026</v>
          </cell>
        </row>
        <row r="465">
          <cell r="A465">
            <v>23726</v>
          </cell>
          <cell r="B465" t="str">
            <v>2026-06-23 00:00:00</v>
          </cell>
          <cell r="Q465" t="str">
            <v>860002503</v>
          </cell>
          <cell r="R465" t="str">
            <v>COMPAÑIA DE SEGUROS BOLIVAR S A TAMBIEN PODRA GIRAR BAJO LA DENOMINACION SEGUROS BOLIVAR S A</v>
          </cell>
          <cell r="Z465" t="str">
            <v>7526</v>
          </cell>
          <cell r="AG465" t="str">
            <v>PLANILLA SEGURIDAD SOCIAL</v>
          </cell>
          <cell r="AH465" t="str">
            <v>86450948/2026</v>
          </cell>
        </row>
        <row r="466">
          <cell r="A466">
            <v>23826</v>
          </cell>
          <cell r="B466" t="str">
            <v>2026-06-23 00:00:00</v>
          </cell>
          <cell r="Q466" t="str">
            <v>800197268</v>
          </cell>
          <cell r="R466" t="str">
            <v>U.A.E. DIRECCION DE IMPUESTOS Y ADUANAS NACIONALES</v>
          </cell>
          <cell r="Z466" t="str">
            <v>326</v>
          </cell>
          <cell r="AG466" t="str">
            <v>NOMINA</v>
          </cell>
          <cell r="AH466" t="str">
            <v>JUNIO/2026</v>
          </cell>
        </row>
        <row r="467">
          <cell r="A467">
            <v>23926</v>
          </cell>
          <cell r="B467" t="str">
            <v>2026-06-23 00:00:00</v>
          </cell>
          <cell r="Q467" t="str">
            <v>800197268</v>
          </cell>
          <cell r="R467" t="str">
            <v>U.A.E. DIRECCION DE IMPUESTOS Y ADUANAS NACIONALES</v>
          </cell>
          <cell r="Z467" t="str">
            <v>426</v>
          </cell>
          <cell r="AG467" t="str">
            <v>SOLICITUD</v>
          </cell>
          <cell r="AH467" t="str">
            <v>TESORERIA CRC</v>
          </cell>
        </row>
        <row r="468">
          <cell r="A468">
            <v>23926</v>
          </cell>
          <cell r="B468" t="str">
            <v>2026-06-23 00:00:00</v>
          </cell>
          <cell r="Q468" t="str">
            <v>800197268</v>
          </cell>
          <cell r="R468" t="str">
            <v>U.A.E. DIRECCION DE IMPUESTOS Y ADUANAS NACIONALES</v>
          </cell>
          <cell r="Z468" t="str">
            <v>426</v>
          </cell>
          <cell r="AG468" t="str">
            <v>SOLICITUD</v>
          </cell>
          <cell r="AH468" t="str">
            <v>TESORERIA CRC</v>
          </cell>
        </row>
        <row r="469">
          <cell r="A469">
            <v>23926</v>
          </cell>
          <cell r="B469" t="str">
            <v>2026-06-23 00:00:00</v>
          </cell>
          <cell r="Q469" t="str">
            <v>800197268</v>
          </cell>
          <cell r="R469" t="str">
            <v>U.A.E. DIRECCION DE IMPUESTOS Y ADUANAS NACIONALES</v>
          </cell>
          <cell r="Z469" t="str">
            <v>426</v>
          </cell>
          <cell r="AG469" t="str">
            <v>SOLICITUD</v>
          </cell>
          <cell r="AH469" t="str">
            <v>TESORERIA CRC</v>
          </cell>
        </row>
        <row r="470">
          <cell r="A470">
            <v>23926</v>
          </cell>
          <cell r="B470" t="str">
            <v>2026-06-23 00:00:00</v>
          </cell>
          <cell r="Q470" t="str">
            <v>800197268</v>
          </cell>
          <cell r="R470" t="str">
            <v>U.A.E. DIRECCION DE IMPUESTOS Y ADUANAS NACIONALES</v>
          </cell>
          <cell r="Z470" t="str">
            <v>426</v>
          </cell>
          <cell r="AG470" t="str">
            <v>SOLICITUD</v>
          </cell>
          <cell r="AH470" t="str">
            <v>TESORERIA CRC</v>
          </cell>
        </row>
        <row r="471">
          <cell r="A471">
            <v>23926</v>
          </cell>
          <cell r="B471" t="str">
            <v>2026-06-23 00:00:00</v>
          </cell>
          <cell r="Q471" t="str">
            <v>800197268</v>
          </cell>
          <cell r="R471" t="str">
            <v>U.A.E. DIRECCION DE IMPUESTOS Y ADUANAS NACIONALES</v>
          </cell>
          <cell r="Z471" t="str">
            <v>426</v>
          </cell>
          <cell r="AG471" t="str">
            <v>SOLICITUD</v>
          </cell>
          <cell r="AH471" t="str">
            <v>TESORERIA CRC</v>
          </cell>
        </row>
        <row r="472">
          <cell r="A472">
            <v>23926</v>
          </cell>
          <cell r="B472" t="str">
            <v>2026-06-23 00:00:00</v>
          </cell>
          <cell r="Q472" t="str">
            <v>800197268</v>
          </cell>
          <cell r="R472" t="str">
            <v>U.A.E. DIRECCION DE IMPUESTOS Y ADUANAS NACIONALES</v>
          </cell>
          <cell r="Z472" t="str">
            <v>426</v>
          </cell>
          <cell r="AG472" t="str">
            <v>SOLICITUD</v>
          </cell>
          <cell r="AH472" t="str">
            <v>TESORERIA CRC</v>
          </cell>
        </row>
        <row r="473">
          <cell r="A473">
            <v>24026</v>
          </cell>
          <cell r="B473" t="str">
            <v>2026-06-23 00:00:00</v>
          </cell>
          <cell r="Q473" t="str">
            <v>800197268</v>
          </cell>
          <cell r="R473" t="str">
            <v>U.A.E. DIRECCION DE IMPUESTOS Y ADUANAS NACIONALES</v>
          </cell>
          <cell r="Z473" t="str">
            <v>7526</v>
          </cell>
          <cell r="AG473" t="str">
            <v>SOLICITUD</v>
          </cell>
          <cell r="AH473" t="str">
            <v>TESORERIA CRC</v>
          </cell>
        </row>
        <row r="474">
          <cell r="A474">
            <v>24126</v>
          </cell>
          <cell r="B474" t="str">
            <v>2026-06-23 00:00:00</v>
          </cell>
          <cell r="Q474" t="str">
            <v>800197268</v>
          </cell>
          <cell r="R474" t="str">
            <v>U.A.E. DIRECCION DE IMPUESTOS Y ADUANAS NACIONALES</v>
          </cell>
          <cell r="Z474" t="str">
            <v>626</v>
          </cell>
          <cell r="AG474" t="str">
            <v>SOLICITUD</v>
          </cell>
          <cell r="AH474" t="str">
            <v>TESORERIA CRC</v>
          </cell>
        </row>
        <row r="475">
          <cell r="A475">
            <v>24226</v>
          </cell>
          <cell r="B475" t="str">
            <v>2026-06-26 00:00:00</v>
          </cell>
          <cell r="Q475" t="str">
            <v>900520676</v>
          </cell>
          <cell r="R475" t="str">
            <v>VERDE ECOLOGICO SAS</v>
          </cell>
          <cell r="Z475" t="str">
            <v>14426</v>
          </cell>
          <cell r="AG475" t="str">
            <v>LOA - CARTA ACEPTACION</v>
          </cell>
          <cell r="AH475" t="str">
            <v>75/2026</v>
          </cell>
        </row>
        <row r="476">
          <cell r="A476">
            <v>24326</v>
          </cell>
          <cell r="B476" t="str">
            <v>2026-06-30 00:00:00</v>
          </cell>
          <cell r="Q476" t="str">
            <v>1000518790</v>
          </cell>
          <cell r="R476" t="str">
            <v>AMAYA NOVOA JENNIFER PAOLA</v>
          </cell>
          <cell r="Z476" t="str">
            <v>526</v>
          </cell>
          <cell r="AG476" t="str">
            <v>RESOLUCION</v>
          </cell>
          <cell r="AH476" t="str">
            <v>277/2026</v>
          </cell>
        </row>
        <row r="477">
          <cell r="A477">
            <v>24326</v>
          </cell>
          <cell r="B477" t="str">
            <v>2026-06-30 00:00:00</v>
          </cell>
          <cell r="Q477" t="str">
            <v>1000518790</v>
          </cell>
          <cell r="R477" t="str">
            <v>AMAYA NOVOA JENNIFER PAOLA</v>
          </cell>
          <cell r="Z477" t="str">
            <v>526</v>
          </cell>
          <cell r="AG477" t="str">
            <v>RESOLUCION</v>
          </cell>
          <cell r="AH477" t="str">
            <v>277/2026</v>
          </cell>
        </row>
        <row r="478">
          <cell r="A478">
            <v>24426</v>
          </cell>
          <cell r="B478" t="str">
            <v>2026-07-01 00:00:00</v>
          </cell>
          <cell r="Q478" t="str">
            <v>830002593</v>
          </cell>
          <cell r="R478" t="str">
            <v>COMISION DE REGULACION DE COMUNICACIONES</v>
          </cell>
          <cell r="Z478" t="str">
            <v>426</v>
          </cell>
          <cell r="AG478" t="str">
            <v>PLANILLA SEGURIDAD SOCIAL</v>
          </cell>
          <cell r="AH478" t="str">
            <v>86542785</v>
          </cell>
        </row>
        <row r="479">
          <cell r="A479">
            <v>24426</v>
          </cell>
          <cell r="B479" t="str">
            <v>2026-07-01 00:00:00</v>
          </cell>
          <cell r="Q479" t="str">
            <v>830002593</v>
          </cell>
          <cell r="R479" t="str">
            <v>COMISION DE REGULACION DE COMUNICACIONES</v>
          </cell>
          <cell r="Z479" t="str">
            <v>426</v>
          </cell>
          <cell r="AG479" t="str">
            <v>PLANILLA SEGURIDAD SOCIAL</v>
          </cell>
          <cell r="AH479" t="str">
            <v>86542785</v>
          </cell>
        </row>
        <row r="480">
          <cell r="A480">
            <v>24426</v>
          </cell>
          <cell r="B480" t="str">
            <v>2026-07-01 00:00:00</v>
          </cell>
          <cell r="Q480" t="str">
            <v>830002593</v>
          </cell>
          <cell r="R480" t="str">
            <v>COMISION DE REGULACION DE COMUNICACIONES</v>
          </cell>
          <cell r="Z480" t="str">
            <v>426</v>
          </cell>
          <cell r="AG480" t="str">
            <v>PLANILLA SEGURIDAD SOCIAL</v>
          </cell>
          <cell r="AH480" t="str">
            <v>86542785</v>
          </cell>
        </row>
        <row r="481">
          <cell r="A481">
            <v>24426</v>
          </cell>
          <cell r="B481" t="str">
            <v>2026-07-01 00:00:00</v>
          </cell>
          <cell r="Q481" t="str">
            <v>830002593</v>
          </cell>
          <cell r="R481" t="str">
            <v>COMISION DE REGULACION DE COMUNICACIONES</v>
          </cell>
          <cell r="Z481" t="str">
            <v>426</v>
          </cell>
          <cell r="AG481" t="str">
            <v>PLANILLA SEGURIDAD SOCIAL</v>
          </cell>
          <cell r="AH481" t="str">
            <v>86542785</v>
          </cell>
        </row>
        <row r="482">
          <cell r="A482">
            <v>24426</v>
          </cell>
          <cell r="B482" t="str">
            <v>2026-07-01 00:00:00</v>
          </cell>
          <cell r="Q482" t="str">
            <v>830002593</v>
          </cell>
          <cell r="R482" t="str">
            <v>COMISION DE REGULACION DE COMUNICACIONES</v>
          </cell>
          <cell r="Z482" t="str">
            <v>426</v>
          </cell>
          <cell r="AG482" t="str">
            <v>PLANILLA SEGURIDAD SOCIAL</v>
          </cell>
          <cell r="AH482" t="str">
            <v>86542785</v>
          </cell>
        </row>
        <row r="483">
          <cell r="A483">
            <v>24426</v>
          </cell>
          <cell r="B483" t="str">
            <v>2026-07-01 00:00:00</v>
          </cell>
          <cell r="Q483" t="str">
            <v>830002593</v>
          </cell>
          <cell r="R483" t="str">
            <v>COMISION DE REGULACION DE COMUNICACIONES</v>
          </cell>
          <cell r="Z483" t="str">
            <v>426</v>
          </cell>
          <cell r="AG483" t="str">
            <v>PLANILLA SEGURIDAD SOCIAL</v>
          </cell>
          <cell r="AH483" t="str">
            <v>86542785</v>
          </cell>
        </row>
        <row r="484">
          <cell r="A484">
            <v>24526</v>
          </cell>
          <cell r="B484" t="str">
            <v>2026-07-01 00:00:00</v>
          </cell>
          <cell r="Q484" t="str">
            <v>830002593</v>
          </cell>
          <cell r="R484" t="str">
            <v>COMISION DE REGULACION DE COMUNICACIONES</v>
          </cell>
          <cell r="Z484" t="str">
            <v>326</v>
          </cell>
          <cell r="AG484" t="str">
            <v>NOMINA</v>
          </cell>
          <cell r="AH484" t="str">
            <v>PRIMA DE SERVICIOS 2026</v>
          </cell>
        </row>
        <row r="485">
          <cell r="A485">
            <v>24626</v>
          </cell>
          <cell r="B485" t="str">
            <v>2026-07-01 00:00:00</v>
          </cell>
          <cell r="Q485" t="str">
            <v>65717122</v>
          </cell>
          <cell r="R485" t="str">
            <v>BUSTAMANTE OSORIO CLAUDIA XIMENA</v>
          </cell>
          <cell r="Z485" t="str">
            <v>326</v>
          </cell>
          <cell r="AG485" t="str">
            <v>NOMINA</v>
          </cell>
          <cell r="AH485" t="str">
            <v>PRIMA DE SERVICIOS 2026</v>
          </cell>
        </row>
        <row r="486">
          <cell r="A486">
            <v>24726</v>
          </cell>
          <cell r="B486" t="str">
            <v>2026-07-02 00:00:00</v>
          </cell>
          <cell r="Q486" t="str">
            <v>79633610</v>
          </cell>
          <cell r="R486" t="str">
            <v>SANCHEZ CASTIBLANCO JOHN RICHARD</v>
          </cell>
          <cell r="Z486" t="str">
            <v>7726</v>
          </cell>
          <cell r="AG486" t="str">
            <v>ACTA</v>
          </cell>
          <cell r="AH486" t="str">
            <v>1573/2026</v>
          </cell>
        </row>
        <row r="487">
          <cell r="A487">
            <v>24826</v>
          </cell>
          <cell r="B487" t="str">
            <v>2026-07-02 00:00:00</v>
          </cell>
          <cell r="Q487" t="str">
            <v>830002593</v>
          </cell>
          <cell r="R487" t="str">
            <v>COMISION DE REGULACION DE COMUNICACIONES</v>
          </cell>
          <cell r="Z487" t="str">
            <v>426</v>
          </cell>
          <cell r="AG487" t="str">
            <v>NOMINA</v>
          </cell>
          <cell r="AH487" t="str">
            <v>PLANILLA ADIC 2026</v>
          </cell>
        </row>
        <row r="488">
          <cell r="A488">
            <v>24826</v>
          </cell>
          <cell r="B488" t="str">
            <v>2026-07-02 00:00:00</v>
          </cell>
          <cell r="Q488" t="str">
            <v>830002593</v>
          </cell>
          <cell r="R488" t="str">
            <v>COMISION DE REGULACION DE COMUNICACIONES</v>
          </cell>
          <cell r="Z488" t="str">
            <v>426</v>
          </cell>
          <cell r="AG488" t="str">
            <v>NOMINA</v>
          </cell>
          <cell r="AH488" t="str">
            <v>PLANILLA ADIC 2026</v>
          </cell>
        </row>
        <row r="489">
          <cell r="A489">
            <v>24826</v>
          </cell>
          <cell r="B489" t="str">
            <v>2026-07-02 00:00:00</v>
          </cell>
          <cell r="Q489" t="str">
            <v>830002593</v>
          </cell>
          <cell r="R489" t="str">
            <v>COMISION DE REGULACION DE COMUNICACIONES</v>
          </cell>
          <cell r="Z489" t="str">
            <v>426</v>
          </cell>
          <cell r="AG489" t="str">
            <v>NOMINA</v>
          </cell>
          <cell r="AH489" t="str">
            <v>PLANILLA ADIC 2026</v>
          </cell>
        </row>
        <row r="490">
          <cell r="A490">
            <v>24826</v>
          </cell>
          <cell r="B490" t="str">
            <v>2026-07-02 00:00:00</v>
          </cell>
          <cell r="Q490" t="str">
            <v>830002593</v>
          </cell>
          <cell r="R490" t="str">
            <v>COMISION DE REGULACION DE COMUNICACIONES</v>
          </cell>
          <cell r="Z490" t="str">
            <v>426</v>
          </cell>
          <cell r="AG490" t="str">
            <v>NOMINA</v>
          </cell>
          <cell r="AH490" t="str">
            <v>PLANILLA ADIC 2026</v>
          </cell>
        </row>
        <row r="491">
          <cell r="A491">
            <v>24826</v>
          </cell>
          <cell r="B491" t="str">
            <v>2026-07-02 00:00:00</v>
          </cell>
          <cell r="Q491" t="str">
            <v>830002593</v>
          </cell>
          <cell r="R491" t="str">
            <v>COMISION DE REGULACION DE COMUNICACIONES</v>
          </cell>
          <cell r="Z491" t="str">
            <v>426</v>
          </cell>
          <cell r="AG491" t="str">
            <v>NOMINA</v>
          </cell>
          <cell r="AH491" t="str">
            <v>PLANILLA ADIC 2026</v>
          </cell>
        </row>
        <row r="492">
          <cell r="A492">
            <v>24826</v>
          </cell>
          <cell r="B492" t="str">
            <v>2026-07-02 00:00:00</v>
          </cell>
          <cell r="Q492" t="str">
            <v>830002593</v>
          </cell>
          <cell r="R492" t="str">
            <v>COMISION DE REGULACION DE COMUNICACIONES</v>
          </cell>
          <cell r="Z492" t="str">
            <v>426</v>
          </cell>
          <cell r="AG492" t="str">
            <v>NOMINA</v>
          </cell>
          <cell r="AH492" t="str">
            <v>PLANILLA ADIC 2026</v>
          </cell>
        </row>
        <row r="493">
          <cell r="A493">
            <v>24926</v>
          </cell>
          <cell r="B493" t="str">
            <v>2026-07-02 00:00:00</v>
          </cell>
          <cell r="Q493" t="str">
            <v>79591976</v>
          </cell>
          <cell r="R493" t="str">
            <v>GUTIERREZ AFANADOR JAVIER</v>
          </cell>
          <cell r="Z493" t="str">
            <v>15326</v>
          </cell>
          <cell r="AG493" t="str">
            <v>OTRAS AUTORIZACIONES ESPECIALES</v>
          </cell>
          <cell r="AH493" t="str">
            <v>139545/2026</v>
          </cell>
        </row>
        <row r="494">
          <cell r="A494">
            <v>25026</v>
          </cell>
          <cell r="B494" t="str">
            <v>2026-07-02 00:00:00</v>
          </cell>
          <cell r="Q494" t="str">
            <v>34558930</v>
          </cell>
          <cell r="R494" t="str">
            <v>MUÑOZ GOMEZ ANDREA BEATRIZ EUGENIA</v>
          </cell>
          <cell r="Z494" t="str">
            <v>15426</v>
          </cell>
          <cell r="AG494" t="str">
            <v>OTRAS AUTORIZACIONES ESPECIALES</v>
          </cell>
          <cell r="AH494" t="str">
            <v>139546/2026</v>
          </cell>
        </row>
        <row r="495">
          <cell r="A495">
            <v>25126</v>
          </cell>
          <cell r="B495" t="str">
            <v>2026-07-03 00:00:00</v>
          </cell>
          <cell r="Q495" t="str">
            <v>899999284</v>
          </cell>
          <cell r="R495" t="str">
            <v>FONDO NACIONAL DEL AHORRO S.A.</v>
          </cell>
          <cell r="Z495" t="str">
            <v>426</v>
          </cell>
          <cell r="AG495" t="str">
            <v>NOMINA</v>
          </cell>
          <cell r="AH495" t="str">
            <v>RETROACTIVO 2026</v>
          </cell>
        </row>
        <row r="496">
          <cell r="A496">
            <v>25226</v>
          </cell>
          <cell r="B496" t="str">
            <v>2026-07-03 00:00:00</v>
          </cell>
          <cell r="Q496" t="str">
            <v>830002593</v>
          </cell>
          <cell r="R496" t="str">
            <v>COMISION DE REGULACION DE COMUNICACIONES</v>
          </cell>
          <cell r="Z496" t="str">
            <v>426</v>
          </cell>
          <cell r="AG496" t="str">
            <v>NOMINA</v>
          </cell>
          <cell r="AH496" t="str">
            <v>RETROACTIVO 2026</v>
          </cell>
        </row>
        <row r="497">
          <cell r="A497">
            <v>25226</v>
          </cell>
          <cell r="B497" t="str">
            <v>2026-07-03 00:00:00</v>
          </cell>
          <cell r="Q497" t="str">
            <v>830002593</v>
          </cell>
          <cell r="R497" t="str">
            <v>COMISION DE REGULACION DE COMUNICACIONES</v>
          </cell>
          <cell r="Z497" t="str">
            <v>426</v>
          </cell>
          <cell r="AG497" t="str">
            <v>NOMINA</v>
          </cell>
          <cell r="AH497" t="str">
            <v>RETROACTIVO 2026</v>
          </cell>
        </row>
        <row r="498">
          <cell r="A498">
            <v>25226</v>
          </cell>
          <cell r="B498" t="str">
            <v>2026-07-03 00:00:00</v>
          </cell>
          <cell r="Q498" t="str">
            <v>830002593</v>
          </cell>
          <cell r="R498" t="str">
            <v>COMISION DE REGULACION DE COMUNICACIONES</v>
          </cell>
          <cell r="Z498" t="str">
            <v>426</v>
          </cell>
          <cell r="AG498" t="str">
            <v>NOMINA</v>
          </cell>
          <cell r="AH498" t="str">
            <v>RETROACTIVO 2026</v>
          </cell>
        </row>
        <row r="499">
          <cell r="A499">
            <v>25226</v>
          </cell>
          <cell r="B499" t="str">
            <v>2026-07-03 00:00:00</v>
          </cell>
          <cell r="Q499" t="str">
            <v>830002593</v>
          </cell>
          <cell r="R499" t="str">
            <v>COMISION DE REGULACION DE COMUNICACIONES</v>
          </cell>
          <cell r="Z499" t="str">
            <v>426</v>
          </cell>
          <cell r="AG499" t="str">
            <v>NOMINA</v>
          </cell>
          <cell r="AH499" t="str">
            <v>RETROACTIVO 2026</v>
          </cell>
        </row>
        <row r="500">
          <cell r="A500">
            <v>25226</v>
          </cell>
          <cell r="B500" t="str">
            <v>2026-07-03 00:00:00</v>
          </cell>
          <cell r="Q500" t="str">
            <v>830002593</v>
          </cell>
          <cell r="R500" t="str">
            <v>COMISION DE REGULACION DE COMUNICACIONES</v>
          </cell>
          <cell r="Z500" t="str">
            <v>426</v>
          </cell>
          <cell r="AG500" t="str">
            <v>NOMINA</v>
          </cell>
          <cell r="AH500" t="str">
            <v>RETROACTIVO 2026</v>
          </cell>
        </row>
        <row r="501">
          <cell r="A501">
            <v>25226</v>
          </cell>
          <cell r="B501" t="str">
            <v>2026-07-03 00:00:00</v>
          </cell>
          <cell r="Q501" t="str">
            <v>830002593</v>
          </cell>
          <cell r="R501" t="str">
            <v>COMISION DE REGULACION DE COMUNICACIONES</v>
          </cell>
          <cell r="Z501" t="str">
            <v>426</v>
          </cell>
          <cell r="AG501" t="str">
            <v>NOMINA</v>
          </cell>
          <cell r="AH501" t="str">
            <v>RETROACTIVO 2026</v>
          </cell>
        </row>
        <row r="502">
          <cell r="A502">
            <v>25326</v>
          </cell>
          <cell r="B502" t="str">
            <v>2026-07-03 00:00:00</v>
          </cell>
          <cell r="Q502" t="str">
            <v>800153993</v>
          </cell>
          <cell r="R502" t="str">
            <v>COMUNICACION CELULAR S A COMCEL S A</v>
          </cell>
          <cell r="Z502" t="str">
            <v>14026</v>
          </cell>
          <cell r="AG502" t="str">
            <v>ORDEN DE COMPRA</v>
          </cell>
          <cell r="AH502" t="str">
            <v>166465/2026</v>
          </cell>
        </row>
        <row r="503">
          <cell r="A503">
            <v>25426</v>
          </cell>
          <cell r="B503" t="str">
            <v>2026-07-03 00:00:00</v>
          </cell>
          <cell r="Q503" t="str">
            <v>1052700068</v>
          </cell>
          <cell r="R503" t="str">
            <v>ANA CAROLINA PANZZA CADENA</v>
          </cell>
          <cell r="Z503" t="str">
            <v>526</v>
          </cell>
          <cell r="AG503" t="str">
            <v>RESOLUCION</v>
          </cell>
          <cell r="AH503" t="str">
            <v>284/2026</v>
          </cell>
        </row>
        <row r="504">
          <cell r="A504">
            <v>25526</v>
          </cell>
          <cell r="B504" t="str">
            <v>2026-07-06 00:00:00</v>
          </cell>
          <cell r="Q504" t="str">
            <v>900516872</v>
          </cell>
          <cell r="R504" t="str">
            <v>EDIFICIO LINK 7-60</v>
          </cell>
          <cell r="Z504" t="str">
            <v>126</v>
          </cell>
          <cell r="AG504" t="str">
            <v>FACTURA</v>
          </cell>
          <cell r="AH504" t="str">
            <v>LK7813</v>
          </cell>
        </row>
        <row r="505">
          <cell r="A505">
            <v>25626</v>
          </cell>
          <cell r="B505" t="str">
            <v>2026-07-07 00:00:00</v>
          </cell>
          <cell r="Q505" t="str">
            <v>830002593</v>
          </cell>
          <cell r="R505" t="str">
            <v>COMISION DE REGULACION DE COMUNICACIONES</v>
          </cell>
          <cell r="Z505" t="str">
            <v>15826</v>
          </cell>
          <cell r="AG505" t="str">
            <v>RESOLUCION</v>
          </cell>
          <cell r="AH505" t="str">
            <v>289/2026</v>
          </cell>
        </row>
        <row r="506">
          <cell r="A506">
            <v>25626</v>
          </cell>
          <cell r="B506" t="str">
            <v>2026-07-07 00:00:00</v>
          </cell>
          <cell r="Q506" t="str">
            <v>830002593</v>
          </cell>
          <cell r="R506" t="str">
            <v>COMISION DE REGULACION DE COMUNICACIONES</v>
          </cell>
          <cell r="Z506" t="str">
            <v>15826</v>
          </cell>
          <cell r="AG506" t="str">
            <v>RESOLUCION</v>
          </cell>
          <cell r="AH506" t="str">
            <v>289/2026</v>
          </cell>
        </row>
        <row r="507">
          <cell r="A507">
            <v>25726</v>
          </cell>
          <cell r="B507" t="str">
            <v>2026-07-07 00:00:00</v>
          </cell>
          <cell r="Q507" t="str">
            <v>1001203364</v>
          </cell>
          <cell r="R507" t="str">
            <v>PAULA ALEJANDRA DÍAZ JARAMILLO</v>
          </cell>
          <cell r="Z507" t="str">
            <v>526</v>
          </cell>
          <cell r="AG507" t="str">
            <v>RESOLUCION</v>
          </cell>
          <cell r="AH507" t="str">
            <v>288/2026</v>
          </cell>
        </row>
        <row r="508">
          <cell r="A508">
            <v>25826</v>
          </cell>
          <cell r="B508" t="str">
            <v>2026-07-09 00:00:00</v>
          </cell>
          <cell r="Q508" t="str">
            <v>80756133</v>
          </cell>
          <cell r="R508" t="str">
            <v>RODRIGUEZ ORTIZ FREDY</v>
          </cell>
          <cell r="Z508" t="str">
            <v>15526</v>
          </cell>
          <cell r="AG508" t="str">
            <v>CONTRATO DE PRESTACION DE SERVICIOS</v>
          </cell>
          <cell r="AH508" t="str">
            <v>76/2026</v>
          </cell>
        </row>
        <row r="509">
          <cell r="A509">
            <v>25926</v>
          </cell>
          <cell r="B509" t="str">
            <v>2026-07-09 00:00:00</v>
          </cell>
          <cell r="Q509" t="str">
            <v>65717122</v>
          </cell>
          <cell r="R509" t="str">
            <v>BUSTAMANTE OSORIO CLAUDIA XIMENA</v>
          </cell>
          <cell r="Z509" t="str">
            <v>15626</v>
          </cell>
          <cell r="AG509" t="str">
            <v>OTRAS AUTORIZACIONES ESPECIALES</v>
          </cell>
          <cell r="AH509" t="str">
            <v>140152/2026</v>
          </cell>
        </row>
        <row r="510">
          <cell r="A510">
            <v>26026</v>
          </cell>
          <cell r="B510" t="str">
            <v>2026-07-09 00:00:00</v>
          </cell>
          <cell r="Q510" t="str">
            <v>860037013</v>
          </cell>
          <cell r="R510" t="str">
            <v>COMPAÑIA MUNDIAL DE SEGUROS S.A.</v>
          </cell>
          <cell r="Z510" t="str">
            <v>13226</v>
          </cell>
          <cell r="AG510" t="str">
            <v>CONTRATO DE PRESTACION DE SERVICIOS</v>
          </cell>
          <cell r="AH510" t="str">
            <v>77/2026</v>
          </cell>
        </row>
        <row r="511">
          <cell r="A511">
            <v>26126</v>
          </cell>
          <cell r="B511" t="str">
            <v>2026-07-15 00:00:00</v>
          </cell>
          <cell r="Q511" t="str">
            <v>830002593</v>
          </cell>
          <cell r="R511" t="str">
            <v>COMISION DE REGULACION DE COMUNICACIONES</v>
          </cell>
          <cell r="Z511" t="str">
            <v>326</v>
          </cell>
          <cell r="AG511" t="str">
            <v>NOMINA</v>
          </cell>
          <cell r="AH511" t="str">
            <v>JULIO/2026</v>
          </cell>
        </row>
        <row r="512">
          <cell r="A512">
            <v>26126</v>
          </cell>
          <cell r="B512" t="str">
            <v>2026-07-15 00:00:00</v>
          </cell>
          <cell r="Q512" t="str">
            <v>830002593</v>
          </cell>
          <cell r="R512" t="str">
            <v>COMISION DE REGULACION DE COMUNICACIONES</v>
          </cell>
          <cell r="Z512" t="str">
            <v>326</v>
          </cell>
          <cell r="AG512" t="str">
            <v>NOMINA</v>
          </cell>
          <cell r="AH512" t="str">
            <v>JULIO/2026</v>
          </cell>
        </row>
        <row r="513">
          <cell r="A513">
            <v>26126</v>
          </cell>
          <cell r="B513" t="str">
            <v>2026-07-15 00:00:00</v>
          </cell>
          <cell r="Q513" t="str">
            <v>830002593</v>
          </cell>
          <cell r="R513" t="str">
            <v>COMISION DE REGULACION DE COMUNICACIONES</v>
          </cell>
          <cell r="Z513" t="str">
            <v>326</v>
          </cell>
          <cell r="AG513" t="str">
            <v>NOMINA</v>
          </cell>
          <cell r="AH513" t="str">
            <v>JULIO/2026</v>
          </cell>
        </row>
        <row r="514">
          <cell r="A514">
            <v>26126</v>
          </cell>
          <cell r="B514" t="str">
            <v>2026-07-15 00:00:00</v>
          </cell>
          <cell r="Q514" t="str">
            <v>830002593</v>
          </cell>
          <cell r="R514" t="str">
            <v>COMISION DE REGULACION DE COMUNICACIONES</v>
          </cell>
          <cell r="Z514" t="str">
            <v>326</v>
          </cell>
          <cell r="AG514" t="str">
            <v>NOMINA</v>
          </cell>
          <cell r="AH514" t="str">
            <v>JULIO/2026</v>
          </cell>
        </row>
        <row r="515">
          <cell r="A515">
            <v>26126</v>
          </cell>
          <cell r="B515" t="str">
            <v>2026-07-15 00:00:00</v>
          </cell>
          <cell r="Q515" t="str">
            <v>830002593</v>
          </cell>
          <cell r="R515" t="str">
            <v>COMISION DE REGULACION DE COMUNICACIONES</v>
          </cell>
          <cell r="Z515" t="str">
            <v>326</v>
          </cell>
          <cell r="AG515" t="str">
            <v>NOMINA</v>
          </cell>
          <cell r="AH515" t="str">
            <v>JULIO/2026</v>
          </cell>
        </row>
        <row r="516">
          <cell r="A516">
            <v>26126</v>
          </cell>
          <cell r="B516" t="str">
            <v>2026-07-15 00:00:00</v>
          </cell>
          <cell r="Q516" t="str">
            <v>830002593</v>
          </cell>
          <cell r="R516" t="str">
            <v>COMISION DE REGULACION DE COMUNICACIONES</v>
          </cell>
          <cell r="Z516" t="str">
            <v>326</v>
          </cell>
          <cell r="AG516" t="str">
            <v>NOMINA</v>
          </cell>
          <cell r="AH516" t="str">
            <v>JULIO/2026</v>
          </cell>
        </row>
        <row r="517">
          <cell r="A517">
            <v>26126</v>
          </cell>
          <cell r="B517" t="str">
            <v>2026-07-15 00:00:00</v>
          </cell>
          <cell r="Q517" t="str">
            <v>830002593</v>
          </cell>
          <cell r="R517" t="str">
            <v>COMISION DE REGULACION DE COMUNICACIONES</v>
          </cell>
          <cell r="Z517" t="str">
            <v>326</v>
          </cell>
          <cell r="AG517" t="str">
            <v>NOMINA</v>
          </cell>
          <cell r="AH517" t="str">
            <v>JULIO/2026</v>
          </cell>
        </row>
        <row r="518">
          <cell r="A518">
            <v>26126</v>
          </cell>
          <cell r="B518" t="str">
            <v>2026-07-15 00:00:00</v>
          </cell>
          <cell r="Q518" t="str">
            <v>830002593</v>
          </cell>
          <cell r="R518" t="str">
            <v>COMISION DE REGULACION DE COMUNICACIONES</v>
          </cell>
          <cell r="Z518" t="str">
            <v>326</v>
          </cell>
          <cell r="AG518" t="str">
            <v>NOMINA</v>
          </cell>
          <cell r="AH518" t="str">
            <v>JULIO/2026</v>
          </cell>
        </row>
        <row r="519">
          <cell r="A519">
            <v>26126</v>
          </cell>
          <cell r="B519" t="str">
            <v>2026-07-15 00:00:00</v>
          </cell>
          <cell r="Q519" t="str">
            <v>830002593</v>
          </cell>
          <cell r="R519" t="str">
            <v>COMISION DE REGULACION DE COMUNICACIONES</v>
          </cell>
          <cell r="Z519" t="str">
            <v>326</v>
          </cell>
          <cell r="AG519" t="str">
            <v>NOMINA</v>
          </cell>
          <cell r="AH519" t="str">
            <v>JULIO/2026</v>
          </cell>
        </row>
        <row r="520">
          <cell r="A520">
            <v>26126</v>
          </cell>
          <cell r="B520" t="str">
            <v>2026-07-15 00:00:00</v>
          </cell>
          <cell r="Q520" t="str">
            <v>830002593</v>
          </cell>
          <cell r="R520" t="str">
            <v>COMISION DE REGULACION DE COMUNICACIONES</v>
          </cell>
          <cell r="Z520" t="str">
            <v>326</v>
          </cell>
          <cell r="AG520" t="str">
            <v>NOMINA</v>
          </cell>
          <cell r="AH520" t="str">
            <v>JULIO/2026</v>
          </cell>
        </row>
        <row r="521">
          <cell r="A521">
            <v>26126</v>
          </cell>
          <cell r="B521" t="str">
            <v>2026-07-15 00:00:00</v>
          </cell>
          <cell r="Q521" t="str">
            <v>830002593</v>
          </cell>
          <cell r="R521" t="str">
            <v>COMISION DE REGULACION DE COMUNICACIONES</v>
          </cell>
          <cell r="Z521" t="str">
            <v>326</v>
          </cell>
          <cell r="AG521" t="str">
            <v>NOMINA</v>
          </cell>
          <cell r="AH521" t="str">
            <v>JULIO/2026</v>
          </cell>
        </row>
        <row r="522">
          <cell r="A522">
            <v>26126</v>
          </cell>
          <cell r="B522" t="str">
            <v>2026-07-15 00:00:00</v>
          </cell>
          <cell r="Q522" t="str">
            <v>830002593</v>
          </cell>
          <cell r="R522" t="str">
            <v>COMISION DE REGULACION DE COMUNICACIONES</v>
          </cell>
          <cell r="Z522" t="str">
            <v>326</v>
          </cell>
          <cell r="AG522" t="str">
            <v>NOMINA</v>
          </cell>
          <cell r="AH522" t="str">
            <v>JULIO/2026</v>
          </cell>
        </row>
        <row r="523">
          <cell r="A523">
            <v>26226</v>
          </cell>
          <cell r="B523" t="str">
            <v>2026-07-17 00:00:00</v>
          </cell>
          <cell r="Q523" t="str">
            <v>79633610</v>
          </cell>
          <cell r="R523" t="str">
            <v>SANCHEZ CASTIBLANCO JOHN RICHARD</v>
          </cell>
          <cell r="Z523" t="str">
            <v>7726</v>
          </cell>
          <cell r="AG523" t="str">
            <v>ACTA</v>
          </cell>
          <cell r="AH523" t="str">
            <v>1573/2026</v>
          </cell>
        </row>
        <row r="524">
          <cell r="A524">
            <v>26326</v>
          </cell>
          <cell r="B524" t="str">
            <v>2026-07-21 00:00:00</v>
          </cell>
          <cell r="Q524" t="str">
            <v>860002503</v>
          </cell>
          <cell r="R524" t="str">
            <v>COMPAÑIA DE SEGUROS BOLIVAR S A TAMBIEN PODRA GIRAR BAJO LA DENOMINACION SEGUROS BOLIVAR S A</v>
          </cell>
          <cell r="Z524" t="str">
            <v>7526</v>
          </cell>
          <cell r="AG524" t="str">
            <v>PLANILLA SEGURIDAD SOCIAL</v>
          </cell>
          <cell r="AH524" t="str">
            <v>87038805</v>
          </cell>
        </row>
        <row r="525">
          <cell r="A525">
            <v>26426</v>
          </cell>
          <cell r="B525" t="str">
            <v>2026-07-24 00:00:00</v>
          </cell>
          <cell r="Q525" t="str">
            <v>79570086</v>
          </cell>
          <cell r="R525" t="str">
            <v>VELASQUEZ IBAÑEZ GUILLERMO</v>
          </cell>
          <cell r="Z525" t="str">
            <v>7726</v>
          </cell>
          <cell r="AG525" t="str">
            <v>ACTA</v>
          </cell>
          <cell r="AH525" t="str">
            <v>1570/2026</v>
          </cell>
        </row>
        <row r="526">
          <cell r="A526">
            <v>26526</v>
          </cell>
          <cell r="B526" t="str">
            <v>2026-07-24 00:00:00</v>
          </cell>
          <cell r="Q526" t="str">
            <v>1010210143</v>
          </cell>
          <cell r="R526" t="str">
            <v>CELEITA HERNANDEZ ANDRES CAMILO</v>
          </cell>
          <cell r="Z526" t="str">
            <v>7726</v>
          </cell>
          <cell r="AG526" t="str">
            <v>OTROS</v>
          </cell>
          <cell r="AH526" t="str">
            <v>ACTA 1574/2026</v>
          </cell>
        </row>
        <row r="527">
          <cell r="A527">
            <v>26626</v>
          </cell>
          <cell r="B527" t="str">
            <v>2026-07-24 00:00:00</v>
          </cell>
          <cell r="Q527" t="str">
            <v>1049616810</v>
          </cell>
          <cell r="R527" t="str">
            <v>HERRERA GALINDO JOHAN SEBASTIAN</v>
          </cell>
          <cell r="Z527" t="str">
            <v>7726</v>
          </cell>
          <cell r="AG527" t="str">
            <v>ACTA</v>
          </cell>
          <cell r="AH527" t="str">
            <v>1574/2026</v>
          </cell>
        </row>
        <row r="528">
          <cell r="A528">
            <v>26726</v>
          </cell>
          <cell r="B528" t="str">
            <v>2026-07-24 00:00:00</v>
          </cell>
          <cell r="Q528" t="str">
            <v>33435608</v>
          </cell>
          <cell r="R528" t="str">
            <v>DIAZ REAL AURA JESSE</v>
          </cell>
          <cell r="Z528" t="str">
            <v>7726</v>
          </cell>
          <cell r="AG528" t="str">
            <v>ACTA</v>
          </cell>
          <cell r="AH528" t="str">
            <v>1575/2026</v>
          </cell>
        </row>
        <row r="529">
          <cell r="A529">
            <v>26826</v>
          </cell>
          <cell r="B529" t="str">
            <v>2026-07-24 00:00:00</v>
          </cell>
          <cell r="Q529" t="str">
            <v>1002329684</v>
          </cell>
          <cell r="R529" t="str">
            <v>ESTUPIÑAN CALA DENIS ALEJANDRA</v>
          </cell>
          <cell r="Z529" t="str">
            <v>7726</v>
          </cell>
          <cell r="AG529" t="str">
            <v>ACTA</v>
          </cell>
          <cell r="AH529" t="str">
            <v>1575/2026</v>
          </cell>
        </row>
        <row r="530">
          <cell r="A530">
            <v>26926</v>
          </cell>
          <cell r="B530" t="str">
            <v>2026-07-24 00:00:00</v>
          </cell>
          <cell r="Q530" t="str">
            <v>1032410280</v>
          </cell>
          <cell r="R530" t="str">
            <v>JURADO TORO LIZA CATALINA</v>
          </cell>
          <cell r="Z530" t="str">
            <v>7726</v>
          </cell>
          <cell r="AG530" t="str">
            <v>ACTA</v>
          </cell>
          <cell r="AH530" t="str">
            <v>1570/2026</v>
          </cell>
        </row>
        <row r="531">
          <cell r="A531">
            <v>27026</v>
          </cell>
          <cell r="B531" t="str">
            <v>2026-07-28 00:00:00</v>
          </cell>
          <cell r="Q531" t="str">
            <v>830002593</v>
          </cell>
          <cell r="R531" t="str">
            <v>COMISION DE REGULACION DE COMUNICACIONES</v>
          </cell>
          <cell r="Z531" t="str">
            <v>16826</v>
          </cell>
          <cell r="AG531" t="str">
            <v>RESOLUCION</v>
          </cell>
          <cell r="AH531" t="str">
            <v>314/2026</v>
          </cell>
        </row>
        <row r="532">
          <cell r="A532">
            <v>27026</v>
          </cell>
          <cell r="B532" t="str">
            <v>2026-07-28 00:00:00</v>
          </cell>
          <cell r="Q532" t="str">
            <v>830002593</v>
          </cell>
          <cell r="R532" t="str">
            <v>COMISION DE REGULACION DE COMUNICACIONES</v>
          </cell>
          <cell r="Z532" t="str">
            <v>16826</v>
          </cell>
          <cell r="AG532" t="str">
            <v>RESOLUCION</v>
          </cell>
          <cell r="AH532" t="str">
            <v>314/2026</v>
          </cell>
        </row>
        <row r="533">
          <cell r="A533">
            <v>27026</v>
          </cell>
          <cell r="B533" t="str">
            <v>2026-07-28 00:00:00</v>
          </cell>
          <cell r="Q533" t="str">
            <v>830002593</v>
          </cell>
          <cell r="R533" t="str">
            <v>COMISION DE REGULACION DE COMUNICACIONES</v>
          </cell>
          <cell r="Z533" t="str">
            <v>16826</v>
          </cell>
          <cell r="AG533" t="str">
            <v>RESOLUCION</v>
          </cell>
          <cell r="AH533" t="str">
            <v>314/2026</v>
          </cell>
        </row>
        <row r="534">
          <cell r="A534">
            <v>27126</v>
          </cell>
          <cell r="B534" t="str">
            <v>2026-07-28 00:00:00</v>
          </cell>
          <cell r="Q534" t="str">
            <v>830100700</v>
          </cell>
          <cell r="R534" t="str">
            <v>BRANDSTRAT BIC S.A.S</v>
          </cell>
          <cell r="Z534" t="str">
            <v>12126</v>
          </cell>
          <cell r="AG534" t="str">
            <v>CONTRATO DE PRESTACION DE SERVICIOS</v>
          </cell>
          <cell r="AH534" t="str">
            <v>79/2026</v>
          </cell>
        </row>
        <row r="535">
          <cell r="A535">
            <v>27226</v>
          </cell>
          <cell r="B535" t="str">
            <v>2026-07-28 00:00:00</v>
          </cell>
          <cell r="Q535" t="str">
            <v>899999284</v>
          </cell>
          <cell r="R535" t="str">
            <v>FONDO NACIONAL DEL AHORRO S.A.</v>
          </cell>
          <cell r="Z535" t="str">
            <v>426</v>
          </cell>
          <cell r="AG535" t="str">
            <v>NOMINA</v>
          </cell>
          <cell r="AH535" t="str">
            <v>JULIO/2026</v>
          </cell>
        </row>
        <row r="536">
          <cell r="A536">
            <v>27326</v>
          </cell>
          <cell r="B536" t="str">
            <v>2026-07-29 00:00:00</v>
          </cell>
          <cell r="Q536" t="str">
            <v>900627060</v>
          </cell>
          <cell r="R536" t="str">
            <v>ALL TECHNOLOGICAL SERVICES ATS S.A.S.</v>
          </cell>
          <cell r="Z536" t="str">
            <v>15926</v>
          </cell>
          <cell r="AG536" t="str">
            <v>CONTRATO DE PRESTACION DE SERVICIOS</v>
          </cell>
          <cell r="AH536" t="str">
            <v>82/2026</v>
          </cell>
        </row>
        <row r="537">
          <cell r="A537">
            <v>27426</v>
          </cell>
          <cell r="B537" t="str">
            <v>2026-07-29 00:00:00</v>
          </cell>
          <cell r="Q537" t="str">
            <v>830002593</v>
          </cell>
          <cell r="R537" t="str">
            <v>COMISION DE REGULACION DE COMUNICACIONES</v>
          </cell>
          <cell r="Z537" t="str">
            <v>426</v>
          </cell>
          <cell r="AG537" t="str">
            <v>NOMINA</v>
          </cell>
          <cell r="AH537" t="str">
            <v>JULIO 2026</v>
          </cell>
        </row>
        <row r="538">
          <cell r="A538">
            <v>27426</v>
          </cell>
          <cell r="B538" t="str">
            <v>2026-07-29 00:00:00</v>
          </cell>
          <cell r="Q538" t="str">
            <v>830002593</v>
          </cell>
          <cell r="R538" t="str">
            <v>COMISION DE REGULACION DE COMUNICACIONES</v>
          </cell>
          <cell r="Z538" t="str">
            <v>426</v>
          </cell>
          <cell r="AG538" t="str">
            <v>NOMINA</v>
          </cell>
          <cell r="AH538" t="str">
            <v>JULIO 2026</v>
          </cell>
        </row>
        <row r="539">
          <cell r="A539">
            <v>27426</v>
          </cell>
          <cell r="B539" t="str">
            <v>2026-07-29 00:00:00</v>
          </cell>
          <cell r="Q539" t="str">
            <v>830002593</v>
          </cell>
          <cell r="R539" t="str">
            <v>COMISION DE REGULACION DE COMUNICACIONES</v>
          </cell>
          <cell r="Z539" t="str">
            <v>426</v>
          </cell>
          <cell r="AG539" t="str">
            <v>NOMINA</v>
          </cell>
          <cell r="AH539" t="str">
            <v>JULIO 2026</v>
          </cell>
        </row>
        <row r="540">
          <cell r="A540">
            <v>27426</v>
          </cell>
          <cell r="B540" t="str">
            <v>2026-07-29 00:00:00</v>
          </cell>
          <cell r="Q540" t="str">
            <v>830002593</v>
          </cell>
          <cell r="R540" t="str">
            <v>COMISION DE REGULACION DE COMUNICACIONES</v>
          </cell>
          <cell r="Z540" t="str">
            <v>426</v>
          </cell>
          <cell r="AG540" t="str">
            <v>NOMINA</v>
          </cell>
          <cell r="AH540" t="str">
            <v>JULIO 2026</v>
          </cell>
        </row>
        <row r="541">
          <cell r="A541">
            <v>27426</v>
          </cell>
          <cell r="B541" t="str">
            <v>2026-07-29 00:00:00</v>
          </cell>
          <cell r="Q541" t="str">
            <v>830002593</v>
          </cell>
          <cell r="R541" t="str">
            <v>COMISION DE REGULACION DE COMUNICACIONES</v>
          </cell>
          <cell r="Z541" t="str">
            <v>426</v>
          </cell>
          <cell r="AG541" t="str">
            <v>NOMINA</v>
          </cell>
          <cell r="AH541" t="str">
            <v>JULIO 2026</v>
          </cell>
        </row>
        <row r="542">
          <cell r="A542">
            <v>27426</v>
          </cell>
          <cell r="B542" t="str">
            <v>2026-07-29 00:00:00</v>
          </cell>
          <cell r="Q542" t="str">
            <v>830002593</v>
          </cell>
          <cell r="R542" t="str">
            <v>COMISION DE REGULACION DE COMUNICACIONES</v>
          </cell>
          <cell r="Z542" t="str">
            <v>426</v>
          </cell>
          <cell r="AG542" t="str">
            <v>NOMINA</v>
          </cell>
          <cell r="AH542" t="str">
            <v>JULIO 2026</v>
          </cell>
        </row>
        <row r="543">
          <cell r="A543">
            <v>27526</v>
          </cell>
          <cell r="B543" t="str">
            <v>2026-07-29 00:00:00</v>
          </cell>
          <cell r="Q543" t="str">
            <v>800197268</v>
          </cell>
          <cell r="R543" t="str">
            <v>U.A.E. DIRECCION DE IMPUESTOS Y ADUANAS NACIONALES</v>
          </cell>
          <cell r="Z543" t="str">
            <v>16926</v>
          </cell>
          <cell r="AG543" t="str">
            <v>SOLICITUD</v>
          </cell>
          <cell r="AH543" t="str">
            <v>TESORERIA CRC</v>
          </cell>
        </row>
        <row r="544">
          <cell r="A544">
            <v>27526</v>
          </cell>
          <cell r="B544" t="str">
            <v>2026-07-29 00:00:00</v>
          </cell>
          <cell r="Q544" t="str">
            <v>800197268</v>
          </cell>
          <cell r="R544" t="str">
            <v>U.A.E. DIRECCION DE IMPUESTOS Y ADUANAS NACIONALES</v>
          </cell>
          <cell r="Z544" t="str">
            <v>16926</v>
          </cell>
          <cell r="AG544" t="str">
            <v>SOLICITUD</v>
          </cell>
          <cell r="AH544" t="str">
            <v>TESORERIA CRC</v>
          </cell>
        </row>
        <row r="545">
          <cell r="A545">
            <v>27526</v>
          </cell>
          <cell r="B545" t="str">
            <v>2026-07-29 00:00:00</v>
          </cell>
          <cell r="Q545" t="str">
            <v>800197268</v>
          </cell>
          <cell r="R545" t="str">
            <v>U.A.E. DIRECCION DE IMPUESTOS Y ADUANAS NACIONALES</v>
          </cell>
          <cell r="Z545" t="str">
            <v>16926</v>
          </cell>
          <cell r="AG545" t="str">
            <v>SOLICITUD</v>
          </cell>
          <cell r="AH545" t="str">
            <v>TESORERIA CRC</v>
          </cell>
        </row>
        <row r="546">
          <cell r="A546">
            <v>27526</v>
          </cell>
          <cell r="B546" t="str">
            <v>2026-07-29 00:00:00</v>
          </cell>
          <cell r="Q546" t="str">
            <v>800197268</v>
          </cell>
          <cell r="R546" t="str">
            <v>U.A.E. DIRECCION DE IMPUESTOS Y ADUANAS NACIONALES</v>
          </cell>
          <cell r="Z546" t="str">
            <v>16926</v>
          </cell>
          <cell r="AG546" t="str">
            <v>SOLICITUD</v>
          </cell>
          <cell r="AH546" t="str">
            <v>TESORERIA CRC</v>
          </cell>
        </row>
        <row r="547">
          <cell r="A547">
            <v>27526</v>
          </cell>
          <cell r="B547" t="str">
            <v>2026-07-29 00:00:00</v>
          </cell>
          <cell r="Q547" t="str">
            <v>800197268</v>
          </cell>
          <cell r="R547" t="str">
            <v>U.A.E. DIRECCION DE IMPUESTOS Y ADUANAS NACIONALES</v>
          </cell>
          <cell r="Z547" t="str">
            <v>16926</v>
          </cell>
          <cell r="AG547" t="str">
            <v>SOLICITUD</v>
          </cell>
          <cell r="AH547" t="str">
            <v>TESORERIA CRC</v>
          </cell>
        </row>
        <row r="548">
          <cell r="A548">
            <v>27526</v>
          </cell>
          <cell r="B548" t="str">
            <v>2026-07-29 00:00:00</v>
          </cell>
          <cell r="Q548" t="str">
            <v>800197268</v>
          </cell>
          <cell r="R548" t="str">
            <v>U.A.E. DIRECCION DE IMPUESTOS Y ADUANAS NACIONALES</v>
          </cell>
          <cell r="Z548" t="str">
            <v>16926</v>
          </cell>
          <cell r="AG548" t="str">
            <v>SOLICITUD</v>
          </cell>
          <cell r="AH548" t="str">
            <v>TESORERIA CRC</v>
          </cell>
        </row>
        <row r="549">
          <cell r="A549">
            <v>27526</v>
          </cell>
          <cell r="B549" t="str">
            <v>2026-07-29 00:00:00</v>
          </cell>
          <cell r="Q549" t="str">
            <v>800197268</v>
          </cell>
          <cell r="R549" t="str">
            <v>U.A.E. DIRECCION DE IMPUESTOS Y ADUANAS NACIONALES</v>
          </cell>
          <cell r="Z549" t="str">
            <v>16926</v>
          </cell>
          <cell r="AG549" t="str">
            <v>SOLICITUD</v>
          </cell>
          <cell r="AH549" t="str">
            <v>TESORERIA CRC</v>
          </cell>
        </row>
        <row r="550">
          <cell r="A550">
            <v>27526</v>
          </cell>
          <cell r="B550" t="str">
            <v>2026-07-29 00:00:00</v>
          </cell>
          <cell r="Q550" t="str">
            <v>800197268</v>
          </cell>
          <cell r="R550" t="str">
            <v>U.A.E. DIRECCION DE IMPUESTOS Y ADUANAS NACIONALES</v>
          </cell>
          <cell r="Z550" t="str">
            <v>16926</v>
          </cell>
          <cell r="AG550" t="str">
            <v>SOLICITUD</v>
          </cell>
          <cell r="AH550" t="str">
            <v>TESORERIA CRC</v>
          </cell>
        </row>
        <row r="551">
          <cell r="A551">
            <v>27526</v>
          </cell>
          <cell r="B551" t="str">
            <v>2026-07-29 00:00:00</v>
          </cell>
          <cell r="Q551" t="str">
            <v>800197268</v>
          </cell>
          <cell r="R551" t="str">
            <v>U.A.E. DIRECCION DE IMPUESTOS Y ADUANAS NACIONALES</v>
          </cell>
          <cell r="Z551" t="str">
            <v>16926</v>
          </cell>
          <cell r="AG551" t="str">
            <v>SOLICITUD</v>
          </cell>
          <cell r="AH551" t="str">
            <v>TESORERIA CRC</v>
          </cell>
        </row>
        <row r="552">
          <cell r="A552">
            <v>27526</v>
          </cell>
          <cell r="B552" t="str">
            <v>2026-07-29 00:00:00</v>
          </cell>
          <cell r="Q552" t="str">
            <v>800197268</v>
          </cell>
          <cell r="R552" t="str">
            <v>U.A.E. DIRECCION DE IMPUESTOS Y ADUANAS NACIONALES</v>
          </cell>
          <cell r="Z552" t="str">
            <v>16926</v>
          </cell>
          <cell r="AG552" t="str">
            <v>SOLICITUD</v>
          </cell>
          <cell r="AH552" t="str">
            <v>TESORERIA CRC</v>
          </cell>
        </row>
        <row r="553">
          <cell r="A553">
            <v>27526</v>
          </cell>
          <cell r="B553" t="str">
            <v>2026-07-29 00:00:00</v>
          </cell>
          <cell r="Q553" t="str">
            <v>800197268</v>
          </cell>
          <cell r="R553" t="str">
            <v>U.A.E. DIRECCION DE IMPUESTOS Y ADUANAS NACIONALES</v>
          </cell>
          <cell r="Z553" t="str">
            <v>16926</v>
          </cell>
          <cell r="AG553" t="str">
            <v>SOLICITUD</v>
          </cell>
          <cell r="AH553" t="str">
            <v>TESORERIA CRC</v>
          </cell>
        </row>
        <row r="554">
          <cell r="A554">
            <v>27526</v>
          </cell>
          <cell r="B554" t="str">
            <v>2026-07-29 00:00:00</v>
          </cell>
          <cell r="Q554" t="str">
            <v>800197268</v>
          </cell>
          <cell r="R554" t="str">
            <v>U.A.E. DIRECCION DE IMPUESTOS Y ADUANAS NACIONALES</v>
          </cell>
          <cell r="Z554" t="str">
            <v>16926</v>
          </cell>
          <cell r="AG554" t="str">
            <v>SOLICITUD</v>
          </cell>
          <cell r="AH554" t="str">
            <v>TESORERIA CRC</v>
          </cell>
        </row>
        <row r="555">
          <cell r="A555">
            <v>27626</v>
          </cell>
          <cell r="B555" t="str">
            <v>2026-07-29 00:00:00</v>
          </cell>
          <cell r="Q555" t="str">
            <v>800197268</v>
          </cell>
          <cell r="R555" t="str">
            <v>U.A.E. DIRECCION DE IMPUESTOS Y ADUANAS NACIONALES</v>
          </cell>
          <cell r="Z555" t="str">
            <v>326</v>
          </cell>
          <cell r="AG555" t="str">
            <v>SOLICITUD</v>
          </cell>
          <cell r="AH555" t="str">
            <v>TESORERIA CRC</v>
          </cell>
        </row>
        <row r="556">
          <cell r="A556">
            <v>27726</v>
          </cell>
          <cell r="B556" t="str">
            <v>2026-07-29 00:00:00</v>
          </cell>
          <cell r="Q556" t="str">
            <v>800197268</v>
          </cell>
          <cell r="R556" t="str">
            <v>U.A.E. DIRECCION DE IMPUESTOS Y ADUANAS NACIONALES</v>
          </cell>
          <cell r="Z556" t="str">
            <v>426</v>
          </cell>
          <cell r="AG556" t="str">
            <v>SOLICITUD</v>
          </cell>
          <cell r="AH556" t="str">
            <v>TESORERIA CRC</v>
          </cell>
        </row>
        <row r="557">
          <cell r="A557">
            <v>27726</v>
          </cell>
          <cell r="B557" t="str">
            <v>2026-07-29 00:00:00</v>
          </cell>
          <cell r="Q557" t="str">
            <v>800197268</v>
          </cell>
          <cell r="R557" t="str">
            <v>U.A.E. DIRECCION DE IMPUESTOS Y ADUANAS NACIONALES</v>
          </cell>
          <cell r="Z557" t="str">
            <v>426</v>
          </cell>
          <cell r="AG557" t="str">
            <v>SOLICITUD</v>
          </cell>
          <cell r="AH557" t="str">
            <v>TESORERIA CRC</v>
          </cell>
        </row>
        <row r="558">
          <cell r="A558">
            <v>27726</v>
          </cell>
          <cell r="B558" t="str">
            <v>2026-07-29 00:00:00</v>
          </cell>
          <cell r="Q558" t="str">
            <v>800197268</v>
          </cell>
          <cell r="R558" t="str">
            <v>U.A.E. DIRECCION DE IMPUESTOS Y ADUANAS NACIONALES</v>
          </cell>
          <cell r="Z558" t="str">
            <v>426</v>
          </cell>
          <cell r="AG558" t="str">
            <v>SOLICITUD</v>
          </cell>
          <cell r="AH558" t="str">
            <v>TESORERIA CRC</v>
          </cell>
        </row>
        <row r="559">
          <cell r="A559">
            <v>27726</v>
          </cell>
          <cell r="B559" t="str">
            <v>2026-07-29 00:00:00</v>
          </cell>
          <cell r="Q559" t="str">
            <v>800197268</v>
          </cell>
          <cell r="R559" t="str">
            <v>U.A.E. DIRECCION DE IMPUESTOS Y ADUANAS NACIONALES</v>
          </cell>
          <cell r="Z559" t="str">
            <v>426</v>
          </cell>
          <cell r="AG559" t="str">
            <v>SOLICITUD</v>
          </cell>
          <cell r="AH559" t="str">
            <v>TESORERIA CRC</v>
          </cell>
        </row>
        <row r="560">
          <cell r="A560">
            <v>27726</v>
          </cell>
          <cell r="B560" t="str">
            <v>2026-07-29 00:00:00</v>
          </cell>
          <cell r="Q560" t="str">
            <v>800197268</v>
          </cell>
          <cell r="R560" t="str">
            <v>U.A.E. DIRECCION DE IMPUESTOS Y ADUANAS NACIONALES</v>
          </cell>
          <cell r="Z560" t="str">
            <v>426</v>
          </cell>
          <cell r="AG560" t="str">
            <v>SOLICITUD</v>
          </cell>
          <cell r="AH560" t="str">
            <v>TESORERIA CRC</v>
          </cell>
        </row>
        <row r="561">
          <cell r="A561">
            <v>27726</v>
          </cell>
          <cell r="B561" t="str">
            <v>2026-07-29 00:00:00</v>
          </cell>
          <cell r="Q561" t="str">
            <v>800197268</v>
          </cell>
          <cell r="R561" t="str">
            <v>U.A.E. DIRECCION DE IMPUESTOS Y ADUANAS NACIONALES</v>
          </cell>
          <cell r="Z561" t="str">
            <v>426</v>
          </cell>
          <cell r="AG561" t="str">
            <v>SOLICITUD</v>
          </cell>
          <cell r="AH561" t="str">
            <v>TESORERIA CRC</v>
          </cell>
        </row>
        <row r="562">
          <cell r="A562">
            <v>27826</v>
          </cell>
          <cell r="B562" t="str">
            <v>2026-07-29 00:00:00</v>
          </cell>
          <cell r="Q562" t="str">
            <v>800197268</v>
          </cell>
          <cell r="R562" t="str">
            <v>U.A.E. DIRECCION DE IMPUESTOS Y ADUANAS NACIONALES</v>
          </cell>
          <cell r="Z562" t="str">
            <v>17026</v>
          </cell>
          <cell r="AG562" t="str">
            <v>SOLICITUD</v>
          </cell>
          <cell r="AH562" t="str">
            <v>TESORERIA CRC</v>
          </cell>
        </row>
        <row r="563">
          <cell r="A563">
            <v>27926</v>
          </cell>
          <cell r="B563" t="str">
            <v>2026-07-30 00:00:00</v>
          </cell>
          <cell r="Q563" t="str">
            <v>1032450986</v>
          </cell>
          <cell r="R563" t="str">
            <v>RUEDA VELASCO CARLOS ANDRES</v>
          </cell>
          <cell r="Z563" t="str">
            <v>326</v>
          </cell>
          <cell r="AG563" t="str">
            <v>RESOLUCION</v>
          </cell>
          <cell r="AH563" t="str">
            <v>317/2026</v>
          </cell>
        </row>
        <row r="564">
          <cell r="A564">
            <v>27926</v>
          </cell>
          <cell r="B564" t="str">
            <v>2026-07-30 00:00:00</v>
          </cell>
          <cell r="Q564" t="str">
            <v>1032450986</v>
          </cell>
          <cell r="R564" t="str">
            <v>RUEDA VELASCO CARLOS ANDRES</v>
          </cell>
          <cell r="Z564" t="str">
            <v>326</v>
          </cell>
          <cell r="AG564" t="str">
            <v>RESOLUCION</v>
          </cell>
          <cell r="AH564" t="str">
            <v>317/2026</v>
          </cell>
        </row>
        <row r="565">
          <cell r="A565">
            <v>27926</v>
          </cell>
          <cell r="B565" t="str">
            <v>2026-07-30 00:00:00</v>
          </cell>
          <cell r="Q565" t="str">
            <v>1032450986</v>
          </cell>
          <cell r="R565" t="str">
            <v>RUEDA VELASCO CARLOS ANDRES</v>
          </cell>
          <cell r="Z565" t="str">
            <v>326</v>
          </cell>
          <cell r="AG565" t="str">
            <v>RESOLUCION</v>
          </cell>
          <cell r="AH565" t="str">
            <v>317/2026</v>
          </cell>
        </row>
        <row r="566">
          <cell r="A566">
            <v>28026</v>
          </cell>
          <cell r="B566" t="str">
            <v>2026-07-30 00:00:00</v>
          </cell>
          <cell r="Q566" t="str">
            <v>52417337</v>
          </cell>
          <cell r="R566" t="str">
            <v>GONZALEZ AGUDELO SARA INES</v>
          </cell>
          <cell r="Z566" t="str">
            <v>326</v>
          </cell>
          <cell r="AG566" t="str">
            <v>RESOLUCION</v>
          </cell>
          <cell r="AH566" t="str">
            <v>311/2026</v>
          </cell>
        </row>
        <row r="567">
          <cell r="A567">
            <v>28026</v>
          </cell>
          <cell r="B567" t="str">
            <v>2026-07-30 00:00:00</v>
          </cell>
          <cell r="Q567" t="str">
            <v>52417337</v>
          </cell>
          <cell r="R567" t="str">
            <v>GONZALEZ AGUDELO SARA INES</v>
          </cell>
          <cell r="Z567" t="str">
            <v>326</v>
          </cell>
          <cell r="AG567" t="str">
            <v>RESOLUCION</v>
          </cell>
          <cell r="AH567" t="str">
            <v>311/2026</v>
          </cell>
        </row>
        <row r="568">
          <cell r="A568">
            <v>28026</v>
          </cell>
          <cell r="B568" t="str">
            <v>2026-07-30 00:00:00</v>
          </cell>
          <cell r="Q568" t="str">
            <v>52417337</v>
          </cell>
          <cell r="R568" t="str">
            <v>GONZALEZ AGUDELO SARA INES</v>
          </cell>
          <cell r="Z568" t="str">
            <v>326</v>
          </cell>
          <cell r="AG568" t="str">
            <v>RESOLUCION</v>
          </cell>
          <cell r="AH568" t="str">
            <v>311/2026</v>
          </cell>
        </row>
        <row r="569">
          <cell r="A569">
            <v>28126</v>
          </cell>
          <cell r="B569" t="str">
            <v>2026-07-30 00:00:00</v>
          </cell>
          <cell r="Q569" t="str">
            <v>79633610</v>
          </cell>
          <cell r="R569" t="str">
            <v>SANCHEZ CASTIBLANCO JOHN RICHARD</v>
          </cell>
          <cell r="Z569" t="str">
            <v>7726</v>
          </cell>
          <cell r="AG569" t="str">
            <v>SOLICITUD</v>
          </cell>
          <cell r="AH569" t="str">
            <v>COORD.RGV</v>
          </cell>
        </row>
        <row r="570">
          <cell r="A570">
            <v>28226</v>
          </cell>
          <cell r="B570" t="str">
            <v>2026-07-31 00:00:00</v>
          </cell>
          <cell r="Q570" t="str">
            <v>900554898</v>
          </cell>
          <cell r="R570" t="str">
            <v>GIGA COLOMBIA SAS</v>
          </cell>
          <cell r="Z570" t="str">
            <v>16526</v>
          </cell>
          <cell r="AG570" t="str">
            <v>CONTRATO DE PRESTACION DE SERVICIOS</v>
          </cell>
          <cell r="AH570" t="str">
            <v>80/2026</v>
          </cell>
        </row>
        <row r="571">
          <cell r="A571">
            <v>28326</v>
          </cell>
          <cell r="B571" t="str">
            <v>2026-08-03 00:00:00</v>
          </cell>
          <cell r="Q571" t="str">
            <v>1005717857</v>
          </cell>
          <cell r="R571" t="str">
            <v>ARANGO OLAYA NICOLLE DHAMAR</v>
          </cell>
          <cell r="Z571" t="str">
            <v>526</v>
          </cell>
          <cell r="AG571" t="str">
            <v>RESOLUCION</v>
          </cell>
          <cell r="AH571" t="str">
            <v>316/2026</v>
          </cell>
        </row>
        <row r="572">
          <cell r="A572">
            <v>28326</v>
          </cell>
          <cell r="B572" t="str">
            <v>2026-08-03 00:00:00</v>
          </cell>
          <cell r="Q572" t="str">
            <v>1005717857</v>
          </cell>
          <cell r="R572" t="str">
            <v>ARANGO OLAYA NICOLLE DHAMAR</v>
          </cell>
          <cell r="Z572" t="str">
            <v>526</v>
          </cell>
          <cell r="AG572" t="str">
            <v>RESOLUCION</v>
          </cell>
          <cell r="AH572" t="str">
            <v>316/2026</v>
          </cell>
        </row>
        <row r="573">
          <cell r="A573">
            <v>28426</v>
          </cell>
          <cell r="B573" t="str">
            <v>2026-08-04 00:00:00</v>
          </cell>
          <cell r="Q573" t="str">
            <v>830002593</v>
          </cell>
          <cell r="R573" t="str">
            <v>COMISION DE REGULACION DE COMUNICACIONES</v>
          </cell>
          <cell r="Z573" t="str">
            <v>17526</v>
          </cell>
          <cell r="AG573" t="str">
            <v>RESOLUCION</v>
          </cell>
          <cell r="AH573" t="str">
            <v>321/2026</v>
          </cell>
        </row>
        <row r="574">
          <cell r="A574">
            <v>28426</v>
          </cell>
          <cell r="B574" t="str">
            <v>2026-08-04 00:00:00</v>
          </cell>
          <cell r="Q574" t="str">
            <v>830002593</v>
          </cell>
          <cell r="R574" t="str">
            <v>COMISION DE REGULACION DE COMUNICACIONES</v>
          </cell>
          <cell r="Z574" t="str">
            <v>17526</v>
          </cell>
          <cell r="AG574" t="str">
            <v>RESOLUCION</v>
          </cell>
          <cell r="AH574" t="str">
            <v>321/2026</v>
          </cell>
        </row>
        <row r="575">
          <cell r="A575">
            <v>28526</v>
          </cell>
          <cell r="B575" t="str">
            <v>2026-08-05 00:00:00</v>
          </cell>
          <cell r="Q575" t="str">
            <v>900516872</v>
          </cell>
          <cell r="R575" t="str">
            <v>EDIFICIO LINK 7-60</v>
          </cell>
          <cell r="Z575" t="str">
            <v>126</v>
          </cell>
          <cell r="AG575" t="str">
            <v>FACTURA</v>
          </cell>
          <cell r="AH575" t="str">
            <v>LK7863</v>
          </cell>
        </row>
        <row r="576">
          <cell r="A576">
            <v>28626</v>
          </cell>
          <cell r="B576" t="str">
            <v>2026-08-05 00:00:00</v>
          </cell>
          <cell r="Q576" t="str">
            <v>1022385102</v>
          </cell>
          <cell r="R576" t="str">
            <v>ASIAS PINO JONATHAN DAVID</v>
          </cell>
          <cell r="Z576" t="str">
            <v>17226</v>
          </cell>
          <cell r="AG576" t="str">
            <v>CONTRATO DE PRESTACION DE SERVICIOS</v>
          </cell>
          <cell r="AH576" t="str">
            <v>85/2026</v>
          </cell>
        </row>
        <row r="577">
          <cell r="A577">
            <v>28726</v>
          </cell>
          <cell r="B577" t="str">
            <v>2026-08-05 00:00:00</v>
          </cell>
          <cell r="Q577" t="str">
            <v>53123158</v>
          </cell>
          <cell r="R577" t="str">
            <v>CIFUENTES LOPEZ DIANA SOFIA</v>
          </cell>
          <cell r="Z577" t="str">
            <v>17126</v>
          </cell>
          <cell r="AG577" t="str">
            <v>CONTRATO DE PRESTACION DE SERVICIOS</v>
          </cell>
          <cell r="AH577" t="str">
            <v>84/2026</v>
          </cell>
        </row>
        <row r="578">
          <cell r="A578">
            <v>28826</v>
          </cell>
          <cell r="B578" t="str">
            <v>2026-08-05 00:00:00</v>
          </cell>
          <cell r="Q578" t="str">
            <v>800250589</v>
          </cell>
          <cell r="R578" t="str">
            <v>CENTRO CAR 19 LIMITADA</v>
          </cell>
          <cell r="Z578" t="str">
            <v>9326</v>
          </cell>
          <cell r="AG578" t="str">
            <v>LOA - CARTA ACEPTACION</v>
          </cell>
          <cell r="AH578" t="str">
            <v>88/2026</v>
          </cell>
        </row>
        <row r="579">
          <cell r="A579">
            <v>28926</v>
          </cell>
          <cell r="B579" t="str">
            <v>2026-08-06 00:00:00</v>
          </cell>
          <cell r="Q579" t="str">
            <v>900390198</v>
          </cell>
          <cell r="R579" t="str">
            <v>WEXLER S.A.S</v>
          </cell>
          <cell r="Z579" t="str">
            <v>14826</v>
          </cell>
          <cell r="AG579" t="str">
            <v>CONTRATO DE PRESTACION DE SERVICIOS</v>
          </cell>
          <cell r="AH579" t="str">
            <v>87/2026</v>
          </cell>
        </row>
        <row r="580">
          <cell r="A580">
            <v>29026</v>
          </cell>
          <cell r="B580" t="str">
            <v>2026-08-06 00:00:00</v>
          </cell>
          <cell r="Q580" t="str">
            <v>900394093</v>
          </cell>
          <cell r="R580" t="str">
            <v>BUSINESS ALLIANCE GROUP S.A.S.</v>
          </cell>
          <cell r="Z580" t="str">
            <v>14926</v>
          </cell>
          <cell r="AG580" t="str">
            <v>CONTRATO DE PRESTACION DE SERVICIOS</v>
          </cell>
          <cell r="AH580" t="str">
            <v>83/2026</v>
          </cell>
        </row>
        <row r="581">
          <cell r="A581">
            <v>29126</v>
          </cell>
          <cell r="B581" t="str">
            <v>2026-08-06 00:00:00</v>
          </cell>
          <cell r="Q581" t="str">
            <v>1010024899</v>
          </cell>
          <cell r="R581" t="str">
            <v>DURAN ESPITIA DIEGO ALEJANDRO</v>
          </cell>
          <cell r="Z581" t="str">
            <v>7726</v>
          </cell>
          <cell r="AG581" t="str">
            <v>ACTA</v>
          </cell>
          <cell r="AH581" t="str">
            <v>1570/2026</v>
          </cell>
        </row>
        <row r="582">
          <cell r="A582">
            <v>29226</v>
          </cell>
          <cell r="B582" t="str">
            <v>2026-08-06 00:00:00</v>
          </cell>
          <cell r="Q582" t="str">
            <v>1128047454</v>
          </cell>
          <cell r="R582" t="str">
            <v>DIAZ SUAZA FELIPE AUGUSTO</v>
          </cell>
          <cell r="Z582" t="str">
            <v>7726</v>
          </cell>
          <cell r="AG582" t="str">
            <v>ACTA</v>
          </cell>
          <cell r="AH582" t="str">
            <v>1574/2026</v>
          </cell>
        </row>
        <row r="583">
          <cell r="A583">
            <v>29326</v>
          </cell>
          <cell r="B583" t="str">
            <v>2026-08-11 00:00:00</v>
          </cell>
          <cell r="Q583" t="str">
            <v>43983829</v>
          </cell>
          <cell r="R583" t="str">
            <v>ALVAREZ RAMIREZ SANDRA MILENA</v>
          </cell>
          <cell r="Z583" t="str">
            <v>17626</v>
          </cell>
          <cell r="AG583" t="str">
            <v>CONTRATO DE PRESTACION DE SERVICIOS</v>
          </cell>
          <cell r="AH583" t="str">
            <v>89/2026</v>
          </cell>
        </row>
        <row r="584">
          <cell r="A584">
            <v>29426</v>
          </cell>
          <cell r="B584" t="str">
            <v>2026-08-11 00:00:00</v>
          </cell>
          <cell r="Q584" t="str">
            <v>1075255999</v>
          </cell>
          <cell r="R584" t="str">
            <v>PEÑA CUBILLOS MAICOL ENRIQUE</v>
          </cell>
          <cell r="Z584" t="str">
            <v>17726</v>
          </cell>
          <cell r="AG584" t="str">
            <v>CONTRATO DE PRESTACION DE SERVICIOS</v>
          </cell>
          <cell r="AH584" t="str">
            <v>91/2026</v>
          </cell>
        </row>
        <row r="585">
          <cell r="A585">
            <v>29526</v>
          </cell>
          <cell r="B585" t="str">
            <v>2026-08-12 00:00:00</v>
          </cell>
          <cell r="Q585" t="str">
            <v>901742277</v>
          </cell>
          <cell r="R585" t="str">
            <v>STATISTA INC</v>
          </cell>
          <cell r="Z585" t="str">
            <v>17326</v>
          </cell>
          <cell r="AG585" t="str">
            <v>CONTRATO DE PRESTACION DE SERVICIOS</v>
          </cell>
          <cell r="AH585" t="str">
            <v>86/2026</v>
          </cell>
        </row>
        <row r="586">
          <cell r="A586">
            <v>29626</v>
          </cell>
          <cell r="B586" t="str">
            <v>2026-08-14 00:00:00</v>
          </cell>
          <cell r="Q586" t="str">
            <v>901580502</v>
          </cell>
          <cell r="R586" t="str">
            <v>LH URBAN CHIC SAS</v>
          </cell>
          <cell r="Z586" t="str">
            <v>16226</v>
          </cell>
          <cell r="AG586" t="str">
            <v>LOA - CARTA ACEPTACION</v>
          </cell>
          <cell r="AH586" t="str">
            <v>90/2026</v>
          </cell>
        </row>
        <row r="587">
          <cell r="A587">
            <v>29726</v>
          </cell>
          <cell r="B587" t="str">
            <v>2026-08-14 00:00:00</v>
          </cell>
          <cell r="Q587" t="str">
            <v>1071578370</v>
          </cell>
          <cell r="R587" t="str">
            <v>BRANDON STIVEN TRIVIÑO WILCHES</v>
          </cell>
          <cell r="Z587" t="str">
            <v>526</v>
          </cell>
          <cell r="AG587" t="str">
            <v>RESOLUCION</v>
          </cell>
          <cell r="AH587" t="str">
            <v>326/2026</v>
          </cell>
        </row>
        <row r="588">
          <cell r="A588">
            <v>29726</v>
          </cell>
          <cell r="B588" t="str">
            <v>2026-08-14 00:00:00</v>
          </cell>
          <cell r="Q588" t="str">
            <v>1071578370</v>
          </cell>
          <cell r="R588" t="str">
            <v>BRANDON STIVEN TRIVIÑO WILCHES</v>
          </cell>
          <cell r="Z588" t="str">
            <v>526</v>
          </cell>
          <cell r="AG588" t="str">
            <v>RESOLUCION</v>
          </cell>
          <cell r="AH588" t="str">
            <v>326/2026</v>
          </cell>
        </row>
        <row r="589">
          <cell r="A589">
            <v>29826</v>
          </cell>
          <cell r="B589" t="str">
            <v>2026-08-18 00:00:00</v>
          </cell>
          <cell r="Q589" t="str">
            <v>830002593</v>
          </cell>
          <cell r="R589" t="str">
            <v>COMISION DE REGULACION DE COMUNICACIONES</v>
          </cell>
          <cell r="Z589" t="str">
            <v>326</v>
          </cell>
          <cell r="AG589" t="str">
            <v>NOMINA</v>
          </cell>
          <cell r="AH589" t="str">
            <v>AGOSTO 2026</v>
          </cell>
        </row>
        <row r="590">
          <cell r="A590">
            <v>29826</v>
          </cell>
          <cell r="B590" t="str">
            <v>2026-08-18 00:00:00</v>
          </cell>
          <cell r="Q590" t="str">
            <v>830002593</v>
          </cell>
          <cell r="R590" t="str">
            <v>COMISION DE REGULACION DE COMUNICACIONES</v>
          </cell>
          <cell r="Z590" t="str">
            <v>326</v>
          </cell>
          <cell r="AG590" t="str">
            <v>NOMINA</v>
          </cell>
          <cell r="AH590" t="str">
            <v>AGOSTO 2026</v>
          </cell>
        </row>
        <row r="591">
          <cell r="A591">
            <v>29826</v>
          </cell>
          <cell r="B591" t="str">
            <v>2026-08-18 00:00:00</v>
          </cell>
          <cell r="Q591" t="str">
            <v>830002593</v>
          </cell>
          <cell r="R591" t="str">
            <v>COMISION DE REGULACION DE COMUNICACIONES</v>
          </cell>
          <cell r="Z591" t="str">
            <v>326</v>
          </cell>
          <cell r="AG591" t="str">
            <v>NOMINA</v>
          </cell>
          <cell r="AH591" t="str">
            <v>AGOSTO 2026</v>
          </cell>
        </row>
        <row r="592">
          <cell r="A592">
            <v>29826</v>
          </cell>
          <cell r="B592" t="str">
            <v>2026-08-18 00:00:00</v>
          </cell>
          <cell r="Q592" t="str">
            <v>830002593</v>
          </cell>
          <cell r="R592" t="str">
            <v>COMISION DE REGULACION DE COMUNICACIONES</v>
          </cell>
          <cell r="Z592" t="str">
            <v>326</v>
          </cell>
          <cell r="AG592" t="str">
            <v>NOMINA</v>
          </cell>
          <cell r="AH592" t="str">
            <v>AGOSTO 2026</v>
          </cell>
        </row>
        <row r="593">
          <cell r="A593">
            <v>29826</v>
          </cell>
          <cell r="B593" t="str">
            <v>2026-08-18 00:00:00</v>
          </cell>
          <cell r="Q593" t="str">
            <v>830002593</v>
          </cell>
          <cell r="R593" t="str">
            <v>COMISION DE REGULACION DE COMUNICACIONES</v>
          </cell>
          <cell r="Z593" t="str">
            <v>326</v>
          </cell>
          <cell r="AG593" t="str">
            <v>NOMINA</v>
          </cell>
          <cell r="AH593" t="str">
            <v>AGOSTO 2026</v>
          </cell>
        </row>
        <row r="594">
          <cell r="A594">
            <v>29826</v>
          </cell>
          <cell r="B594" t="str">
            <v>2026-08-18 00:00:00</v>
          </cell>
          <cell r="Q594" t="str">
            <v>830002593</v>
          </cell>
          <cell r="R594" t="str">
            <v>COMISION DE REGULACION DE COMUNICACIONES</v>
          </cell>
          <cell r="Z594" t="str">
            <v>326</v>
          </cell>
          <cell r="AG594" t="str">
            <v>NOMINA</v>
          </cell>
          <cell r="AH594" t="str">
            <v>AGOSTO 2026</v>
          </cell>
        </row>
        <row r="595">
          <cell r="A595">
            <v>29826</v>
          </cell>
          <cell r="B595" t="str">
            <v>2026-08-18 00:00:00</v>
          </cell>
          <cell r="Q595" t="str">
            <v>830002593</v>
          </cell>
          <cell r="R595" t="str">
            <v>COMISION DE REGULACION DE COMUNICACIONES</v>
          </cell>
          <cell r="Z595" t="str">
            <v>326</v>
          </cell>
          <cell r="AG595" t="str">
            <v>NOMINA</v>
          </cell>
          <cell r="AH595" t="str">
            <v>AGOSTO 2026</v>
          </cell>
        </row>
        <row r="596">
          <cell r="A596">
            <v>29826</v>
          </cell>
          <cell r="B596" t="str">
            <v>2026-08-18 00:00:00</v>
          </cell>
          <cell r="Q596" t="str">
            <v>830002593</v>
          </cell>
          <cell r="R596" t="str">
            <v>COMISION DE REGULACION DE COMUNICACIONES</v>
          </cell>
          <cell r="Z596" t="str">
            <v>326</v>
          </cell>
          <cell r="AG596" t="str">
            <v>NOMINA</v>
          </cell>
          <cell r="AH596" t="str">
            <v>AGOSTO 2026</v>
          </cell>
        </row>
        <row r="597">
          <cell r="A597">
            <v>29826</v>
          </cell>
          <cell r="B597" t="str">
            <v>2026-08-18 00:00:00</v>
          </cell>
          <cell r="Q597" t="str">
            <v>830002593</v>
          </cell>
          <cell r="R597" t="str">
            <v>COMISION DE REGULACION DE COMUNICACIONES</v>
          </cell>
          <cell r="Z597" t="str">
            <v>326</v>
          </cell>
          <cell r="AG597" t="str">
            <v>NOMINA</v>
          </cell>
          <cell r="AH597" t="str">
            <v>AGOSTO 2026</v>
          </cell>
        </row>
        <row r="598">
          <cell r="A598">
            <v>29826</v>
          </cell>
          <cell r="B598" t="str">
            <v>2026-08-18 00:00:00</v>
          </cell>
          <cell r="Q598" t="str">
            <v>830002593</v>
          </cell>
          <cell r="R598" t="str">
            <v>COMISION DE REGULACION DE COMUNICACIONES</v>
          </cell>
          <cell r="Z598" t="str">
            <v>326</v>
          </cell>
          <cell r="AG598" t="str">
            <v>NOMINA</v>
          </cell>
          <cell r="AH598" t="str">
            <v>AGOSTO 2026</v>
          </cell>
        </row>
        <row r="599">
          <cell r="A599">
            <v>29826</v>
          </cell>
          <cell r="B599" t="str">
            <v>2026-08-18 00:00:00</v>
          </cell>
          <cell r="Q599" t="str">
            <v>830002593</v>
          </cell>
          <cell r="R599" t="str">
            <v>COMISION DE REGULACION DE COMUNICACIONES</v>
          </cell>
          <cell r="Z599" t="str">
            <v>326</v>
          </cell>
          <cell r="AG599" t="str">
            <v>NOMINA</v>
          </cell>
          <cell r="AH599" t="str">
            <v>AGOSTO 2026</v>
          </cell>
        </row>
        <row r="600">
          <cell r="A600">
            <v>29826</v>
          </cell>
          <cell r="B600" t="str">
            <v>2026-08-18 00:00:00</v>
          </cell>
          <cell r="Q600" t="str">
            <v>830002593</v>
          </cell>
          <cell r="R600" t="str">
            <v>COMISION DE REGULACION DE COMUNICACIONES</v>
          </cell>
          <cell r="Z600" t="str">
            <v>326</v>
          </cell>
          <cell r="AG600" t="str">
            <v>NOMINA</v>
          </cell>
          <cell r="AH600" t="str">
            <v>AGOSTO 2026</v>
          </cell>
        </row>
        <row r="601">
          <cell r="A601">
            <v>29826</v>
          </cell>
          <cell r="B601" t="str">
            <v>2026-08-18 00:00:00</v>
          </cell>
          <cell r="Q601" t="str">
            <v>830002593</v>
          </cell>
          <cell r="R601" t="str">
            <v>COMISION DE REGULACION DE COMUNICACIONES</v>
          </cell>
          <cell r="Z601" t="str">
            <v>326</v>
          </cell>
          <cell r="AG601" t="str">
            <v>NOMINA</v>
          </cell>
          <cell r="AH601" t="str">
            <v>AGOSTO 2026</v>
          </cell>
        </row>
        <row r="602">
          <cell r="A602">
            <v>29826</v>
          </cell>
          <cell r="B602" t="str">
            <v>2026-08-18 00:00:00</v>
          </cell>
          <cell r="Q602" t="str">
            <v>830002593</v>
          </cell>
          <cell r="R602" t="str">
            <v>COMISION DE REGULACION DE COMUNICACIONES</v>
          </cell>
          <cell r="Z602" t="str">
            <v>326</v>
          </cell>
          <cell r="AG602" t="str">
            <v>NOMINA</v>
          </cell>
          <cell r="AH602" t="str">
            <v>AGOSTO 2026</v>
          </cell>
        </row>
        <row r="603">
          <cell r="A603">
            <v>29826</v>
          </cell>
          <cell r="B603" t="str">
            <v>2026-08-18 00:00:00</v>
          </cell>
          <cell r="Q603" t="str">
            <v>830002593</v>
          </cell>
          <cell r="R603" t="str">
            <v>COMISION DE REGULACION DE COMUNICACIONES</v>
          </cell>
          <cell r="Z603" t="str">
            <v>326</v>
          </cell>
          <cell r="AG603" t="str">
            <v>NOMINA</v>
          </cell>
          <cell r="AH603" t="str">
            <v>AGOSTO 2026</v>
          </cell>
        </row>
        <row r="604">
          <cell r="A604">
            <v>29826</v>
          </cell>
          <cell r="B604" t="str">
            <v>2026-08-18 00:00:00</v>
          </cell>
          <cell r="Q604" t="str">
            <v>830002593</v>
          </cell>
          <cell r="R604" t="str">
            <v>COMISION DE REGULACION DE COMUNICACIONES</v>
          </cell>
          <cell r="Z604" t="str">
            <v>326</v>
          </cell>
          <cell r="AG604" t="str">
            <v>NOMINA</v>
          </cell>
          <cell r="AH604" t="str">
            <v>AGOSTO 2026</v>
          </cell>
        </row>
        <row r="605">
          <cell r="A605">
            <v>29926</v>
          </cell>
          <cell r="B605" t="str">
            <v>2026-08-18 00:00:00</v>
          </cell>
          <cell r="Q605" t="str">
            <v>900627060</v>
          </cell>
          <cell r="R605" t="str">
            <v>ALL TECHNOLOGICAL SERVICES ATS S.A.S.</v>
          </cell>
          <cell r="Z605" t="str">
            <v>16626</v>
          </cell>
          <cell r="AG605" t="str">
            <v>LOA - CARTA ACEPTACION</v>
          </cell>
          <cell r="AH605" t="str">
            <v>92/2026</v>
          </cell>
        </row>
        <row r="606">
          <cell r="A606">
            <v>30026</v>
          </cell>
          <cell r="B606" t="str">
            <v>2026-08-18 00:00:00</v>
          </cell>
          <cell r="Q606" t="str">
            <v>7226034</v>
          </cell>
          <cell r="R606" t="str">
            <v>BECERRA CAMARGO RODULFO</v>
          </cell>
          <cell r="Z606" t="str">
            <v>17826</v>
          </cell>
          <cell r="AG606" t="str">
            <v>ACTA</v>
          </cell>
          <cell r="AH606" t="str">
            <v>002/2026</v>
          </cell>
        </row>
        <row r="607">
          <cell r="A607">
            <v>30126</v>
          </cell>
          <cell r="B607" t="str">
            <v>2026-08-18 00:00:00</v>
          </cell>
          <cell r="Q607" t="str">
            <v>1010182682</v>
          </cell>
          <cell r="R607" t="str">
            <v>TOVAR GUIO GLORIA INES</v>
          </cell>
          <cell r="Z607" t="str">
            <v>17926</v>
          </cell>
          <cell r="AG607" t="str">
            <v>ACTA</v>
          </cell>
          <cell r="AH607" t="str">
            <v>002/2026</v>
          </cell>
        </row>
        <row r="608">
          <cell r="A608">
            <v>30226</v>
          </cell>
          <cell r="B608" t="str">
            <v>2026-08-24 00:00:00</v>
          </cell>
          <cell r="Q608" t="str">
            <v>1128047454</v>
          </cell>
          <cell r="R608" t="str">
            <v>DIAZ SUAZA FELIPE AUGUSTO</v>
          </cell>
          <cell r="Z608" t="str">
            <v>18126</v>
          </cell>
          <cell r="AG608" t="str">
            <v>ACTA</v>
          </cell>
          <cell r="AH608" t="str">
            <v>1574/2026</v>
          </cell>
        </row>
        <row r="609">
          <cell r="A609">
            <v>30326</v>
          </cell>
          <cell r="B609" t="str">
            <v>2026-08-24 00:00:00</v>
          </cell>
          <cell r="Q609" t="str">
            <v>65717122</v>
          </cell>
          <cell r="R609" t="str">
            <v>BUSTAMANTE OSORIO CLAUDIA XIMENA</v>
          </cell>
          <cell r="Z609" t="str">
            <v>18126</v>
          </cell>
          <cell r="AG609" t="str">
            <v>ACTA</v>
          </cell>
          <cell r="AH609" t="str">
            <v>1574/2026</v>
          </cell>
        </row>
        <row r="610">
          <cell r="A610">
            <v>30426</v>
          </cell>
          <cell r="B610" t="str">
            <v>2026-08-24 00:00:00</v>
          </cell>
          <cell r="Q610" t="str">
            <v>1016026843</v>
          </cell>
          <cell r="R610" t="str">
            <v>BUSTAMANTE GOMEZ CAMILO ALFREDO</v>
          </cell>
          <cell r="Z610" t="str">
            <v>18126</v>
          </cell>
          <cell r="AG610" t="str">
            <v>ACTA</v>
          </cell>
          <cell r="AH610" t="str">
            <v>1574/2026</v>
          </cell>
        </row>
        <row r="611">
          <cell r="A611">
            <v>30526</v>
          </cell>
          <cell r="B611" t="str">
            <v>2026-08-25 00:00:00</v>
          </cell>
          <cell r="Q611" t="str">
            <v>899999284</v>
          </cell>
          <cell r="R611" t="str">
            <v>FONDO NACIONAL DEL AHORRO S.A.</v>
          </cell>
          <cell r="Z611" t="str">
            <v>426</v>
          </cell>
          <cell r="AG611" t="str">
            <v>NOMINA</v>
          </cell>
          <cell r="AH611" t="str">
            <v>AGOSTO/2026</v>
          </cell>
        </row>
        <row r="612">
          <cell r="A612">
            <v>30626</v>
          </cell>
          <cell r="B612" t="str">
            <v>2026-08-25 00:00:00</v>
          </cell>
          <cell r="Q612" t="str">
            <v>860002503</v>
          </cell>
          <cell r="R612" t="str">
            <v>COMPAÑIA DE SEGUROS BOLIVAR S A TAMBIEN PODRA GIRAR BAJO LA DENOMINACION SEGUROS BOLIVAR S A</v>
          </cell>
          <cell r="Z612" t="str">
            <v>7526</v>
          </cell>
          <cell r="AG612" t="str">
            <v>PLANILLA SEGURIDAD SOCIAL</v>
          </cell>
          <cell r="AH612" t="str">
            <v>87733677</v>
          </cell>
        </row>
        <row r="613">
          <cell r="A613">
            <v>30726</v>
          </cell>
          <cell r="B613" t="str">
            <v>2026-08-26 00:00:00</v>
          </cell>
          <cell r="Q613" t="str">
            <v>830002593</v>
          </cell>
          <cell r="R613" t="str">
            <v>COMISION DE REGULACION DE COMUNICACIONES</v>
          </cell>
          <cell r="Z613" t="str">
            <v>426</v>
          </cell>
          <cell r="AG613" t="str">
            <v>NOMINA</v>
          </cell>
          <cell r="AH613" t="str">
            <v>AGOSTO 2026</v>
          </cell>
        </row>
        <row r="614">
          <cell r="A614">
            <v>30726</v>
          </cell>
          <cell r="B614" t="str">
            <v>2026-08-26 00:00:00</v>
          </cell>
          <cell r="Q614" t="str">
            <v>830002593</v>
          </cell>
          <cell r="R614" t="str">
            <v>COMISION DE REGULACION DE COMUNICACIONES</v>
          </cell>
          <cell r="Z614" t="str">
            <v>426</v>
          </cell>
          <cell r="AG614" t="str">
            <v>NOMINA</v>
          </cell>
          <cell r="AH614" t="str">
            <v>AGOSTO 2026</v>
          </cell>
        </row>
        <row r="615">
          <cell r="A615">
            <v>30726</v>
          </cell>
          <cell r="B615" t="str">
            <v>2026-08-26 00:00:00</v>
          </cell>
          <cell r="Q615" t="str">
            <v>830002593</v>
          </cell>
          <cell r="R615" t="str">
            <v>COMISION DE REGULACION DE COMUNICACIONES</v>
          </cell>
          <cell r="Z615" t="str">
            <v>426</v>
          </cell>
          <cell r="AG615" t="str">
            <v>NOMINA</v>
          </cell>
          <cell r="AH615" t="str">
            <v>AGOSTO 2026</v>
          </cell>
        </row>
        <row r="616">
          <cell r="A616">
            <v>30726</v>
          </cell>
          <cell r="B616" t="str">
            <v>2026-08-26 00:00:00</v>
          </cell>
          <cell r="Q616" t="str">
            <v>830002593</v>
          </cell>
          <cell r="R616" t="str">
            <v>COMISION DE REGULACION DE COMUNICACIONES</v>
          </cell>
          <cell r="Z616" t="str">
            <v>426</v>
          </cell>
          <cell r="AG616" t="str">
            <v>NOMINA</v>
          </cell>
          <cell r="AH616" t="str">
            <v>AGOSTO 2026</v>
          </cell>
        </row>
        <row r="617">
          <cell r="A617">
            <v>30726</v>
          </cell>
          <cell r="B617" t="str">
            <v>2026-08-26 00:00:00</v>
          </cell>
          <cell r="Q617" t="str">
            <v>830002593</v>
          </cell>
          <cell r="R617" t="str">
            <v>COMISION DE REGULACION DE COMUNICACIONES</v>
          </cell>
          <cell r="Z617" t="str">
            <v>426</v>
          </cell>
          <cell r="AG617" t="str">
            <v>NOMINA</v>
          </cell>
          <cell r="AH617" t="str">
            <v>AGOSTO 2026</v>
          </cell>
        </row>
        <row r="618">
          <cell r="A618">
            <v>30726</v>
          </cell>
          <cell r="B618" t="str">
            <v>2026-08-26 00:00:00</v>
          </cell>
          <cell r="Q618" t="str">
            <v>830002593</v>
          </cell>
          <cell r="R618" t="str">
            <v>COMISION DE REGULACION DE COMUNICACIONES</v>
          </cell>
          <cell r="Z618" t="str">
            <v>426</v>
          </cell>
          <cell r="AG618" t="str">
            <v>NOMINA</v>
          </cell>
          <cell r="AH618" t="str">
            <v>AGOSTO 2026</v>
          </cell>
        </row>
        <row r="619">
          <cell r="A619">
            <v>30826</v>
          </cell>
          <cell r="B619" t="str">
            <v>2026-08-26 00:00:00</v>
          </cell>
          <cell r="Q619" t="str">
            <v>900464395</v>
          </cell>
          <cell r="R619" t="str">
            <v>STATE SOLUTIONS S.A.S</v>
          </cell>
          <cell r="Z619" t="str">
            <v>13526</v>
          </cell>
          <cell r="AG619" t="str">
            <v>LOA - CARTA ACEPTACION</v>
          </cell>
          <cell r="AH619" t="str">
            <v>93/2026</v>
          </cell>
        </row>
        <row r="620">
          <cell r="A620">
            <v>30926</v>
          </cell>
          <cell r="B620" t="str">
            <v>2026-08-27 00:00:00</v>
          </cell>
          <cell r="Q620" t="str">
            <v>800197268</v>
          </cell>
          <cell r="R620" t="str">
            <v>U.A.E. DIRECCION DE IMPUESTOS Y ADUANAS NACIONALES</v>
          </cell>
          <cell r="Z620" t="str">
            <v>326</v>
          </cell>
          <cell r="AG620" t="str">
            <v>NOMINA</v>
          </cell>
          <cell r="AH620" t="str">
            <v>AGOSTO/2026</v>
          </cell>
        </row>
        <row r="621">
          <cell r="A621">
            <v>31026</v>
          </cell>
          <cell r="B621" t="str">
            <v>2026-08-27 00:00:00</v>
          </cell>
          <cell r="Q621" t="str">
            <v>800197268</v>
          </cell>
          <cell r="R621" t="str">
            <v>U.A.E. DIRECCION DE IMPUESTOS Y ADUANAS NACIONALES</v>
          </cell>
          <cell r="Z621" t="str">
            <v>426</v>
          </cell>
          <cell r="AG621" t="str">
            <v>SOLICITUD</v>
          </cell>
          <cell r="AH621" t="str">
            <v>TESORERIA CRC</v>
          </cell>
        </row>
        <row r="622">
          <cell r="A622">
            <v>31026</v>
          </cell>
          <cell r="B622" t="str">
            <v>2026-08-27 00:00:00</v>
          </cell>
          <cell r="Q622" t="str">
            <v>800197268</v>
          </cell>
          <cell r="R622" t="str">
            <v>U.A.E. DIRECCION DE IMPUESTOS Y ADUANAS NACIONALES</v>
          </cell>
          <cell r="Z622" t="str">
            <v>426</v>
          </cell>
          <cell r="AG622" t="str">
            <v>SOLICITUD</v>
          </cell>
          <cell r="AH622" t="str">
            <v>TESORERIA CRC</v>
          </cell>
        </row>
        <row r="623">
          <cell r="A623">
            <v>31026</v>
          </cell>
          <cell r="B623" t="str">
            <v>2026-08-27 00:00:00</v>
          </cell>
          <cell r="Q623" t="str">
            <v>800197268</v>
          </cell>
          <cell r="R623" t="str">
            <v>U.A.E. DIRECCION DE IMPUESTOS Y ADUANAS NACIONALES</v>
          </cell>
          <cell r="Z623" t="str">
            <v>426</v>
          </cell>
          <cell r="AG623" t="str">
            <v>SOLICITUD</v>
          </cell>
          <cell r="AH623" t="str">
            <v>TESORERIA CRC</v>
          </cell>
        </row>
        <row r="624">
          <cell r="A624">
            <v>31026</v>
          </cell>
          <cell r="B624" t="str">
            <v>2026-08-27 00:00:00</v>
          </cell>
          <cell r="Q624" t="str">
            <v>800197268</v>
          </cell>
          <cell r="R624" t="str">
            <v>U.A.E. DIRECCION DE IMPUESTOS Y ADUANAS NACIONALES</v>
          </cell>
          <cell r="Z624" t="str">
            <v>426</v>
          </cell>
          <cell r="AG624" t="str">
            <v>SOLICITUD</v>
          </cell>
          <cell r="AH624" t="str">
            <v>TESORERIA CRC</v>
          </cell>
        </row>
        <row r="625">
          <cell r="A625">
            <v>31026</v>
          </cell>
          <cell r="B625" t="str">
            <v>2026-08-27 00:00:00</v>
          </cell>
          <cell r="Q625" t="str">
            <v>800197268</v>
          </cell>
          <cell r="R625" t="str">
            <v>U.A.E. DIRECCION DE IMPUESTOS Y ADUANAS NACIONALES</v>
          </cell>
          <cell r="Z625" t="str">
            <v>426</v>
          </cell>
          <cell r="AG625" t="str">
            <v>SOLICITUD</v>
          </cell>
          <cell r="AH625" t="str">
            <v>TESORERIA CRC</v>
          </cell>
        </row>
        <row r="626">
          <cell r="A626">
            <v>31026</v>
          </cell>
          <cell r="B626" t="str">
            <v>2026-08-27 00:00:00</v>
          </cell>
          <cell r="Q626" t="str">
            <v>800197268</v>
          </cell>
          <cell r="R626" t="str">
            <v>U.A.E. DIRECCION DE IMPUESTOS Y ADUANAS NACIONALES</v>
          </cell>
          <cell r="Z626" t="str">
            <v>426</v>
          </cell>
          <cell r="AG626" t="str">
            <v>SOLICITUD</v>
          </cell>
          <cell r="AH626" t="str">
            <v>TESORERIA CRC</v>
          </cell>
        </row>
        <row r="627">
          <cell r="A627">
            <v>31126</v>
          </cell>
          <cell r="B627" t="str">
            <v>2026-08-27 00:00:00</v>
          </cell>
          <cell r="Q627" t="str">
            <v>800197268</v>
          </cell>
          <cell r="R627" t="str">
            <v>U.A.E. DIRECCION DE IMPUESTOS Y ADUANAS NACIONALES</v>
          </cell>
          <cell r="Z627" t="str">
            <v>18326</v>
          </cell>
          <cell r="AG627" t="str">
            <v>SOLICITUD</v>
          </cell>
          <cell r="AH627" t="str">
            <v>TESORERIA CRC</v>
          </cell>
        </row>
        <row r="628">
          <cell r="A628">
            <v>31226</v>
          </cell>
          <cell r="B628" t="str">
            <v>2026-08-27 00:00:00</v>
          </cell>
          <cell r="Q628" t="str">
            <v>830002593</v>
          </cell>
          <cell r="R628" t="str">
            <v>COMISION DE REGULACION DE COMUNICACIONES</v>
          </cell>
          <cell r="Z628" t="str">
            <v>426</v>
          </cell>
          <cell r="AG628" t="str">
            <v>NOMINA</v>
          </cell>
          <cell r="AH628" t="str">
            <v>AGOSTO 2026</v>
          </cell>
        </row>
        <row r="629">
          <cell r="A629">
            <v>31226</v>
          </cell>
          <cell r="B629" t="str">
            <v>2026-08-27 00:00:00</v>
          </cell>
          <cell r="Q629" t="str">
            <v>830002593</v>
          </cell>
          <cell r="R629" t="str">
            <v>COMISION DE REGULACION DE COMUNICACIONES</v>
          </cell>
          <cell r="Z629" t="str">
            <v>426</v>
          </cell>
          <cell r="AG629" t="str">
            <v>NOMINA</v>
          </cell>
          <cell r="AH629" t="str">
            <v>AGOSTO 2026</v>
          </cell>
        </row>
        <row r="630">
          <cell r="A630">
            <v>31226</v>
          </cell>
          <cell r="B630" t="str">
            <v>2026-08-27 00:00:00</v>
          </cell>
          <cell r="Q630" t="str">
            <v>830002593</v>
          </cell>
          <cell r="R630" t="str">
            <v>COMISION DE REGULACION DE COMUNICACIONES</v>
          </cell>
          <cell r="Z630" t="str">
            <v>426</v>
          </cell>
          <cell r="AG630" t="str">
            <v>NOMINA</v>
          </cell>
          <cell r="AH630" t="str">
            <v>AGOSTO 2026</v>
          </cell>
        </row>
        <row r="631">
          <cell r="A631">
            <v>31226</v>
          </cell>
          <cell r="B631" t="str">
            <v>2026-08-27 00:00:00</v>
          </cell>
          <cell r="Q631" t="str">
            <v>830002593</v>
          </cell>
          <cell r="R631" t="str">
            <v>COMISION DE REGULACION DE COMUNICACIONES</v>
          </cell>
          <cell r="Z631" t="str">
            <v>426</v>
          </cell>
          <cell r="AG631" t="str">
            <v>NOMINA</v>
          </cell>
          <cell r="AH631" t="str">
            <v>AGOSTO 2026</v>
          </cell>
        </row>
        <row r="632">
          <cell r="A632">
            <v>31226</v>
          </cell>
          <cell r="B632" t="str">
            <v>2026-08-27 00:00:00</v>
          </cell>
          <cell r="Q632" t="str">
            <v>830002593</v>
          </cell>
          <cell r="R632" t="str">
            <v>COMISION DE REGULACION DE COMUNICACIONES</v>
          </cell>
          <cell r="Z632" t="str">
            <v>426</v>
          </cell>
          <cell r="AG632" t="str">
            <v>NOMINA</v>
          </cell>
          <cell r="AH632" t="str">
            <v>AGOSTO 2026</v>
          </cell>
        </row>
        <row r="633">
          <cell r="A633">
            <v>31226</v>
          </cell>
          <cell r="B633" t="str">
            <v>2026-08-27 00:00:00</v>
          </cell>
          <cell r="Q633" t="str">
            <v>830002593</v>
          </cell>
          <cell r="R633" t="str">
            <v>COMISION DE REGULACION DE COMUNICACIONES</v>
          </cell>
          <cell r="Z633" t="str">
            <v>426</v>
          </cell>
          <cell r="AG633" t="str">
            <v>NOMINA</v>
          </cell>
          <cell r="AH633" t="str">
            <v>AGOSTO 2026</v>
          </cell>
        </row>
        <row r="634">
          <cell r="A634">
            <v>31326</v>
          </cell>
          <cell r="B634" t="str">
            <v>2026-08-27 00:00:00</v>
          </cell>
          <cell r="Q634" t="str">
            <v>1019105701</v>
          </cell>
          <cell r="R634" t="str">
            <v>BALDRICH MORA VICTOR ALONSO</v>
          </cell>
          <cell r="Z634" t="str">
            <v>18226</v>
          </cell>
          <cell r="AG634" t="str">
            <v>ACTA</v>
          </cell>
          <cell r="AH634" t="str">
            <v>1574/2026</v>
          </cell>
        </row>
        <row r="635">
          <cell r="A635">
            <v>31426</v>
          </cell>
          <cell r="B635" t="str">
            <v>2026-08-27 00:00:00</v>
          </cell>
          <cell r="Q635" t="str">
            <v>1016026843</v>
          </cell>
          <cell r="R635" t="str">
            <v>BUSTAMANTE GOMEZ CAMILO ALFREDO</v>
          </cell>
          <cell r="Z635" t="str">
            <v>18226</v>
          </cell>
          <cell r="AG635" t="str">
            <v>ACTA</v>
          </cell>
          <cell r="AH635" t="str">
            <v>1574/2026</v>
          </cell>
        </row>
        <row r="636">
          <cell r="A636">
            <v>31526</v>
          </cell>
          <cell r="B636" t="str">
            <v>2026-08-27 00:00:00</v>
          </cell>
          <cell r="Q636" t="str">
            <v>65717122</v>
          </cell>
          <cell r="R636" t="str">
            <v>BUSTAMANTE OSORIO CLAUDIA XIMENA</v>
          </cell>
          <cell r="Z636" t="str">
            <v>18226</v>
          </cell>
          <cell r="AG636" t="str">
            <v>ACTA</v>
          </cell>
          <cell r="AH636" t="str">
            <v>1574/2026</v>
          </cell>
        </row>
        <row r="637">
          <cell r="A637">
            <v>31626</v>
          </cell>
          <cell r="B637" t="str">
            <v>2026-08-27 00:00:00</v>
          </cell>
          <cell r="Q637" t="str">
            <v>79459578</v>
          </cell>
          <cell r="R637" t="str">
            <v>CONTRERAS FUSET SADI ALFONSO</v>
          </cell>
          <cell r="Z637" t="str">
            <v>18226</v>
          </cell>
          <cell r="AG637" t="str">
            <v>ACTA</v>
          </cell>
          <cell r="AH637" t="str">
            <v>1574/2026</v>
          </cell>
        </row>
        <row r="638">
          <cell r="A638">
            <v>31726</v>
          </cell>
          <cell r="B638" t="str">
            <v>2026-08-27 00:00:00</v>
          </cell>
          <cell r="Q638" t="str">
            <v>1128047454</v>
          </cell>
          <cell r="R638" t="str">
            <v>DIAZ SUAZA FELIPE AUGUSTO</v>
          </cell>
          <cell r="Z638" t="str">
            <v>18226</v>
          </cell>
          <cell r="AG638" t="str">
            <v>ACTA</v>
          </cell>
          <cell r="AH638" t="str">
            <v>1574/2026</v>
          </cell>
        </row>
        <row r="639">
          <cell r="A639">
            <v>31826</v>
          </cell>
          <cell r="B639" t="str">
            <v>2026-08-27 00:00:00</v>
          </cell>
          <cell r="Q639" t="str">
            <v>34558930</v>
          </cell>
          <cell r="R639" t="str">
            <v>MUÑOZ GOMEZ ANDREA BEATRIZ EUGENIA</v>
          </cell>
          <cell r="Z639" t="str">
            <v>18226</v>
          </cell>
          <cell r="AG639" t="str">
            <v>ACTA</v>
          </cell>
          <cell r="AH639" t="str">
            <v>1574/2026</v>
          </cell>
        </row>
        <row r="640">
          <cell r="A640">
            <v>31926</v>
          </cell>
          <cell r="B640" t="str">
            <v>2026-08-27 00:00:00</v>
          </cell>
          <cell r="Q640" t="str">
            <v>52862292</v>
          </cell>
          <cell r="R640" t="str">
            <v>SARMIENTO ARGUELLO MARIANA</v>
          </cell>
          <cell r="Z640" t="str">
            <v>18226</v>
          </cell>
          <cell r="AG640" t="str">
            <v>ACTA</v>
          </cell>
          <cell r="AH640" t="str">
            <v>1574/2026</v>
          </cell>
        </row>
        <row r="641">
          <cell r="A641">
            <v>32026</v>
          </cell>
          <cell r="B641" t="str">
            <v>2026-08-27 00:00:00</v>
          </cell>
          <cell r="Q641" t="str">
            <v>46360403</v>
          </cell>
          <cell r="R641" t="str">
            <v>VARGAS MESA ZOILA CONSUELO</v>
          </cell>
          <cell r="Z641" t="str">
            <v>18226</v>
          </cell>
          <cell r="AG641" t="str">
            <v>ACTA</v>
          </cell>
          <cell r="AH641" t="str">
            <v>1574/2026</v>
          </cell>
        </row>
        <row r="642">
          <cell r="A642">
            <v>32126</v>
          </cell>
          <cell r="B642" t="str">
            <v>2026-08-27 00:00:00</v>
          </cell>
          <cell r="Q642" t="str">
            <v>52455955</v>
          </cell>
          <cell r="R642" t="str">
            <v>VELEZ MARROQUIN CARMEN PAOLA</v>
          </cell>
          <cell r="Z642" t="str">
            <v>18226</v>
          </cell>
          <cell r="AG642" t="str">
            <v>ACTA</v>
          </cell>
          <cell r="AH642" t="str">
            <v>1574/2026</v>
          </cell>
        </row>
        <row r="643">
          <cell r="A643">
            <v>32226</v>
          </cell>
          <cell r="B643" t="str">
            <v>2026-08-27 00:00:00</v>
          </cell>
          <cell r="Q643" t="str">
            <v>10143555</v>
          </cell>
          <cell r="R643" t="str">
            <v>VERA SANCHEZ MAURICIO</v>
          </cell>
          <cell r="Z643" t="str">
            <v>18226</v>
          </cell>
          <cell r="AG643" t="str">
            <v>ACTA</v>
          </cell>
          <cell r="AH643" t="str">
            <v>1574/2026</v>
          </cell>
        </row>
        <row r="644">
          <cell r="A644">
            <v>32326</v>
          </cell>
          <cell r="B644" t="str">
            <v>2026-09-03 00:00:00</v>
          </cell>
          <cell r="Q644" t="str">
            <v>900516872</v>
          </cell>
          <cell r="R644" t="str">
            <v>EDIFICIO LINK 7-60</v>
          </cell>
          <cell r="Z644" t="str">
            <v>126</v>
          </cell>
          <cell r="AG644" t="str">
            <v>FACTURA</v>
          </cell>
          <cell r="AH644" t="str">
            <v>LK7911</v>
          </cell>
        </row>
        <row r="645">
          <cell r="A645">
            <v>32426</v>
          </cell>
          <cell r="B645" t="str">
            <v>2026-09-08 00:00:00</v>
          </cell>
          <cell r="Q645" t="str">
            <v>830002593</v>
          </cell>
          <cell r="R645" t="str">
            <v>COMISION DE REGULACION DE COMUNICACIONES</v>
          </cell>
          <cell r="Z645" t="str">
            <v>18426</v>
          </cell>
          <cell r="AG645" t="str">
            <v>RESOLUCION</v>
          </cell>
          <cell r="AH645" t="str">
            <v>396/2026</v>
          </cell>
        </row>
        <row r="646">
          <cell r="A646">
            <v>32426</v>
          </cell>
          <cell r="B646" t="str">
            <v>2026-09-08 00:00:00</v>
          </cell>
          <cell r="Q646" t="str">
            <v>830002593</v>
          </cell>
          <cell r="R646" t="str">
            <v>COMISION DE REGULACION DE COMUNICACIONES</v>
          </cell>
          <cell r="Z646" t="str">
            <v>18426</v>
          </cell>
          <cell r="AG646" t="str">
            <v>RESOLUCION</v>
          </cell>
          <cell r="AH646" t="str">
            <v>396/2026</v>
          </cell>
        </row>
        <row r="647">
          <cell r="A647">
            <v>32426</v>
          </cell>
          <cell r="B647" t="str">
            <v>2026-09-08 00:00:00</v>
          </cell>
          <cell r="Q647" t="str">
            <v>830002593</v>
          </cell>
          <cell r="R647" t="str">
            <v>COMISION DE REGULACION DE COMUNICACIONES</v>
          </cell>
          <cell r="Z647" t="str">
            <v>18426</v>
          </cell>
          <cell r="AG647" t="str">
            <v>RESOLUCION</v>
          </cell>
          <cell r="AH647" t="str">
            <v>396/2026</v>
          </cell>
        </row>
        <row r="648">
          <cell r="A648">
            <v>32426</v>
          </cell>
          <cell r="B648" t="str">
            <v>2026-09-08 00:00:00</v>
          </cell>
          <cell r="Q648" t="str">
            <v>830002593</v>
          </cell>
          <cell r="R648" t="str">
            <v>COMISION DE REGULACION DE COMUNICACIONES</v>
          </cell>
          <cell r="Z648" t="str">
            <v>18426</v>
          </cell>
          <cell r="AG648" t="str">
            <v>RESOLUCION</v>
          </cell>
          <cell r="AH648" t="str">
            <v>396/2026</v>
          </cell>
        </row>
        <row r="649">
          <cell r="A649">
            <v>32526</v>
          </cell>
          <cell r="B649" t="str">
            <v>2026-09-14 00:00:00</v>
          </cell>
          <cell r="Q649" t="str">
            <v>902100368</v>
          </cell>
          <cell r="R649" t="str">
            <v>CONSORCIO DEPIN 001-2026</v>
          </cell>
          <cell r="Z649" t="str">
            <v>16126</v>
          </cell>
          <cell r="AG649" t="str">
            <v>CONTRATO DE CONSULTORIA</v>
          </cell>
          <cell r="AH649" t="str">
            <v>94/2026</v>
          </cell>
        </row>
        <row r="650">
          <cell r="A650">
            <v>32626</v>
          </cell>
          <cell r="B650" t="str">
            <v>2026-09-16 00:00:00</v>
          </cell>
          <cell r="Q650" t="str">
            <v>830002593</v>
          </cell>
          <cell r="R650" t="str">
            <v>COMISION DE REGULACION DE COMUNICACIONES</v>
          </cell>
          <cell r="Z650" t="str">
            <v>326</v>
          </cell>
          <cell r="AG650" t="str">
            <v>NOMINA</v>
          </cell>
          <cell r="AH650" t="str">
            <v>SEPTEIMBRE/2026</v>
          </cell>
        </row>
        <row r="651">
          <cell r="A651">
            <v>32626</v>
          </cell>
          <cell r="B651" t="str">
            <v>2026-09-16 00:00:00</v>
          </cell>
          <cell r="Q651" t="str">
            <v>830002593</v>
          </cell>
          <cell r="R651" t="str">
            <v>COMISION DE REGULACION DE COMUNICACIONES</v>
          </cell>
          <cell r="Z651" t="str">
            <v>326</v>
          </cell>
          <cell r="AG651" t="str">
            <v>NOMINA</v>
          </cell>
          <cell r="AH651" t="str">
            <v>SEPTEIMBRE/2026</v>
          </cell>
        </row>
        <row r="652">
          <cell r="A652">
            <v>32626</v>
          </cell>
          <cell r="B652" t="str">
            <v>2026-09-16 00:00:00</v>
          </cell>
          <cell r="Q652" t="str">
            <v>830002593</v>
          </cell>
          <cell r="R652" t="str">
            <v>COMISION DE REGULACION DE COMUNICACIONES</v>
          </cell>
          <cell r="Z652" t="str">
            <v>326</v>
          </cell>
          <cell r="AG652" t="str">
            <v>NOMINA</v>
          </cell>
          <cell r="AH652" t="str">
            <v>SEPTEIMBRE/2026</v>
          </cell>
        </row>
        <row r="653">
          <cell r="A653">
            <v>32626</v>
          </cell>
          <cell r="B653" t="str">
            <v>2026-09-16 00:00:00</v>
          </cell>
          <cell r="Q653" t="str">
            <v>830002593</v>
          </cell>
          <cell r="R653" t="str">
            <v>COMISION DE REGULACION DE COMUNICACIONES</v>
          </cell>
          <cell r="Z653" t="str">
            <v>326</v>
          </cell>
          <cell r="AG653" t="str">
            <v>NOMINA</v>
          </cell>
          <cell r="AH653" t="str">
            <v>SEPTEIMBRE/2026</v>
          </cell>
        </row>
        <row r="654">
          <cell r="A654">
            <v>32626</v>
          </cell>
          <cell r="B654" t="str">
            <v>2026-09-16 00:00:00</v>
          </cell>
          <cell r="Q654" t="str">
            <v>830002593</v>
          </cell>
          <cell r="R654" t="str">
            <v>COMISION DE REGULACION DE COMUNICACIONES</v>
          </cell>
          <cell r="Z654" t="str">
            <v>326</v>
          </cell>
          <cell r="AG654" t="str">
            <v>NOMINA</v>
          </cell>
          <cell r="AH654" t="str">
            <v>SEPTEIMBRE/2026</v>
          </cell>
        </row>
        <row r="655">
          <cell r="A655">
            <v>32626</v>
          </cell>
          <cell r="B655" t="str">
            <v>2026-09-16 00:00:00</v>
          </cell>
          <cell r="Q655" t="str">
            <v>830002593</v>
          </cell>
          <cell r="R655" t="str">
            <v>COMISION DE REGULACION DE COMUNICACIONES</v>
          </cell>
          <cell r="Z655" t="str">
            <v>326</v>
          </cell>
          <cell r="AG655" t="str">
            <v>NOMINA</v>
          </cell>
          <cell r="AH655" t="str">
            <v>SEPTEIMBRE/2026</v>
          </cell>
        </row>
        <row r="656">
          <cell r="A656">
            <v>32626</v>
          </cell>
          <cell r="B656" t="str">
            <v>2026-09-16 00:00:00</v>
          </cell>
          <cell r="Q656" t="str">
            <v>830002593</v>
          </cell>
          <cell r="R656" t="str">
            <v>COMISION DE REGULACION DE COMUNICACIONES</v>
          </cell>
          <cell r="Z656" t="str">
            <v>326</v>
          </cell>
          <cell r="AG656" t="str">
            <v>NOMINA</v>
          </cell>
          <cell r="AH656" t="str">
            <v>SEPTEIMBRE/2026</v>
          </cell>
        </row>
        <row r="657">
          <cell r="A657">
            <v>32626</v>
          </cell>
          <cell r="B657" t="str">
            <v>2026-09-16 00:00:00</v>
          </cell>
          <cell r="Q657" t="str">
            <v>830002593</v>
          </cell>
          <cell r="R657" t="str">
            <v>COMISION DE REGULACION DE COMUNICACIONES</v>
          </cell>
          <cell r="Z657" t="str">
            <v>326</v>
          </cell>
          <cell r="AG657" t="str">
            <v>NOMINA</v>
          </cell>
          <cell r="AH657" t="str">
            <v>SEPTEIMBRE/2026</v>
          </cell>
        </row>
        <row r="658">
          <cell r="A658">
            <v>32626</v>
          </cell>
          <cell r="B658" t="str">
            <v>2026-09-16 00:00:00</v>
          </cell>
          <cell r="Q658" t="str">
            <v>830002593</v>
          </cell>
          <cell r="R658" t="str">
            <v>COMISION DE REGULACION DE COMUNICACIONES</v>
          </cell>
          <cell r="Z658" t="str">
            <v>326</v>
          </cell>
          <cell r="AG658" t="str">
            <v>NOMINA</v>
          </cell>
          <cell r="AH658" t="str">
            <v>SEPTEIMBRE/2026</v>
          </cell>
        </row>
        <row r="659">
          <cell r="A659">
            <v>32626</v>
          </cell>
          <cell r="B659" t="str">
            <v>2026-09-16 00:00:00</v>
          </cell>
          <cell r="Q659" t="str">
            <v>830002593</v>
          </cell>
          <cell r="R659" t="str">
            <v>COMISION DE REGULACION DE COMUNICACIONES</v>
          </cell>
          <cell r="Z659" t="str">
            <v>326</v>
          </cell>
          <cell r="AG659" t="str">
            <v>NOMINA</v>
          </cell>
          <cell r="AH659" t="str">
            <v>SEPTEIMBRE/2026</v>
          </cell>
        </row>
        <row r="660">
          <cell r="A660">
            <v>32626</v>
          </cell>
          <cell r="B660" t="str">
            <v>2026-09-16 00:00:00</v>
          </cell>
          <cell r="Q660" t="str">
            <v>830002593</v>
          </cell>
          <cell r="R660" t="str">
            <v>COMISION DE REGULACION DE COMUNICACIONES</v>
          </cell>
          <cell r="Z660" t="str">
            <v>326</v>
          </cell>
          <cell r="AG660" t="str">
            <v>NOMINA</v>
          </cell>
          <cell r="AH660" t="str">
            <v>SEPTEIMBRE/2026</v>
          </cell>
        </row>
        <row r="661">
          <cell r="A661">
            <v>32626</v>
          </cell>
          <cell r="B661" t="str">
            <v>2026-09-16 00:00:00</v>
          </cell>
          <cell r="Q661" t="str">
            <v>830002593</v>
          </cell>
          <cell r="R661" t="str">
            <v>COMISION DE REGULACION DE COMUNICACIONES</v>
          </cell>
          <cell r="Z661" t="str">
            <v>326</v>
          </cell>
          <cell r="AG661" t="str">
            <v>NOMINA</v>
          </cell>
          <cell r="AH661" t="str">
            <v>SEPTEIMBRE/2026</v>
          </cell>
        </row>
        <row r="662">
          <cell r="A662">
            <v>32626</v>
          </cell>
          <cell r="B662" t="str">
            <v>2026-09-16 00:00:00</v>
          </cell>
          <cell r="Q662" t="str">
            <v>830002593</v>
          </cell>
          <cell r="R662" t="str">
            <v>COMISION DE REGULACION DE COMUNICACIONES</v>
          </cell>
          <cell r="Z662" t="str">
            <v>326</v>
          </cell>
          <cell r="AG662" t="str">
            <v>NOMINA</v>
          </cell>
          <cell r="AH662" t="str">
            <v>SEPTEIMBRE/2026</v>
          </cell>
        </row>
        <row r="663">
          <cell r="A663">
            <v>32626</v>
          </cell>
          <cell r="B663" t="str">
            <v>2026-09-16 00:00:00</v>
          </cell>
          <cell r="Q663" t="str">
            <v>830002593</v>
          </cell>
          <cell r="R663" t="str">
            <v>COMISION DE REGULACION DE COMUNICACIONES</v>
          </cell>
          <cell r="Z663" t="str">
            <v>326</v>
          </cell>
          <cell r="AG663" t="str">
            <v>NOMINA</v>
          </cell>
          <cell r="AH663" t="str">
            <v>SEPTEIMBRE/2026</v>
          </cell>
        </row>
        <row r="664">
          <cell r="A664">
            <v>32626</v>
          </cell>
          <cell r="B664" t="str">
            <v>2026-09-16 00:00:00</v>
          </cell>
          <cell r="Q664" t="str">
            <v>830002593</v>
          </cell>
          <cell r="R664" t="str">
            <v>COMISION DE REGULACION DE COMUNICACIONES</v>
          </cell>
          <cell r="Z664" t="str">
            <v>326</v>
          </cell>
          <cell r="AG664" t="str">
            <v>NOMINA</v>
          </cell>
          <cell r="AH664" t="str">
            <v>SEPTEIMBRE/2026</v>
          </cell>
        </row>
        <row r="665">
          <cell r="A665">
            <v>32626</v>
          </cell>
          <cell r="B665" t="str">
            <v>2026-09-16 00:00:00</v>
          </cell>
          <cell r="Q665" t="str">
            <v>830002593</v>
          </cell>
          <cell r="R665" t="str">
            <v>COMISION DE REGULACION DE COMUNICACIONES</v>
          </cell>
          <cell r="Z665" t="str">
            <v>326</v>
          </cell>
          <cell r="AG665" t="str">
            <v>NOMINA</v>
          </cell>
          <cell r="AH665" t="str">
            <v>SEPTEIMBRE/2026</v>
          </cell>
        </row>
        <row r="666">
          <cell r="A666">
            <v>32726</v>
          </cell>
          <cell r="B666" t="str">
            <v>2026-09-17 00:00:00</v>
          </cell>
          <cell r="Q666" t="str">
            <v>1128047454</v>
          </cell>
          <cell r="R666" t="str">
            <v>DIAZ SUAZA FELIPE AUGUSTO</v>
          </cell>
          <cell r="Z666" t="str">
            <v>7726</v>
          </cell>
          <cell r="AG666" t="str">
            <v>ACTA</v>
          </cell>
          <cell r="AH666" t="str">
            <v>1574/2026</v>
          </cell>
        </row>
        <row r="667">
          <cell r="A667">
            <v>32826</v>
          </cell>
          <cell r="B667" t="str">
            <v>2026-09-17 00:00:00</v>
          </cell>
          <cell r="Q667" t="str">
            <v>52455955</v>
          </cell>
          <cell r="R667" t="str">
            <v>VELEZ MARROQUIN CARMEN PAOLA</v>
          </cell>
          <cell r="Z667" t="str">
            <v>7726</v>
          </cell>
          <cell r="AG667" t="str">
            <v>ACTA</v>
          </cell>
          <cell r="AH667" t="str">
            <v>1574/2026</v>
          </cell>
        </row>
        <row r="668">
          <cell r="A668">
            <v>32926</v>
          </cell>
          <cell r="B668" t="str">
            <v>2026-09-17 00:00:00</v>
          </cell>
          <cell r="Q668" t="str">
            <v>1098643716</v>
          </cell>
          <cell r="R668" t="str">
            <v>BOSSA QUINTERO JULIANA MAYERLY</v>
          </cell>
          <cell r="Z668" t="str">
            <v>7726</v>
          </cell>
          <cell r="AG668" t="str">
            <v>ACTA</v>
          </cell>
          <cell r="AH668" t="str">
            <v>1583/2026</v>
          </cell>
        </row>
        <row r="669">
          <cell r="A669">
            <v>33026</v>
          </cell>
          <cell r="B669" t="str">
            <v>2026-09-17 00:00:00</v>
          </cell>
          <cell r="Q669" t="str">
            <v>1075210338</v>
          </cell>
          <cell r="R669" t="str">
            <v>MUÑOZ TORRES NATALI SOFIA</v>
          </cell>
          <cell r="Z669" t="str">
            <v>7726</v>
          </cell>
          <cell r="AG669" t="str">
            <v>ACTA</v>
          </cell>
          <cell r="AH669" t="str">
            <v>1583/2026</v>
          </cell>
        </row>
        <row r="670">
          <cell r="A670">
            <v>33126</v>
          </cell>
          <cell r="B670" t="str">
            <v>2026-09-17 00:00:00</v>
          </cell>
          <cell r="Q670" t="str">
            <v>1026290587</v>
          </cell>
          <cell r="R670" t="str">
            <v>REYES LOPEZ GABRIEL ANDRES</v>
          </cell>
          <cell r="Z670" t="str">
            <v>7726</v>
          </cell>
          <cell r="AG670" t="str">
            <v>ACEPTACION DE OFERTAS</v>
          </cell>
          <cell r="AH670" t="str">
            <v>1583/2026</v>
          </cell>
        </row>
        <row r="671">
          <cell r="A671">
            <v>33226</v>
          </cell>
          <cell r="B671" t="str">
            <v>2026-09-17 00:00:00</v>
          </cell>
          <cell r="Q671" t="str">
            <v>52862292</v>
          </cell>
          <cell r="R671" t="str">
            <v>SARMIENTO ARGUELLO MARIANA</v>
          </cell>
          <cell r="Z671" t="str">
            <v>7726</v>
          </cell>
          <cell r="AG671" t="str">
            <v>ACTA</v>
          </cell>
          <cell r="AH671" t="str">
            <v>1583/2026</v>
          </cell>
        </row>
        <row r="672">
          <cell r="A672">
            <v>33326</v>
          </cell>
          <cell r="B672" t="str">
            <v>2026-09-21 00:00:00</v>
          </cell>
          <cell r="Q672" t="str">
            <v>65717122</v>
          </cell>
          <cell r="R672" t="str">
            <v>BUSTAMANTE OSORIO CLAUDIA XIMENA</v>
          </cell>
          <cell r="Z672" t="str">
            <v>18726</v>
          </cell>
          <cell r="AG672" t="str">
            <v>OTRAS AUTORIZACIONES ESPECIALES</v>
          </cell>
          <cell r="AH672" t="str">
            <v>143105/2026</v>
          </cell>
        </row>
        <row r="673">
          <cell r="A673">
            <v>33426</v>
          </cell>
          <cell r="B673" t="str">
            <v>2026-09-21 00:00:00</v>
          </cell>
          <cell r="Q673" t="str">
            <v>800046203</v>
          </cell>
          <cell r="R673" t="str">
            <v>INSTITUTO COLOMBIANO DE DERECHO PROCESAL</v>
          </cell>
          <cell r="Z673" t="str">
            <v>19226</v>
          </cell>
          <cell r="AG673" t="str">
            <v>RESOLUCION</v>
          </cell>
          <cell r="AH673" t="str">
            <v>415/2026</v>
          </cell>
        </row>
        <row r="674">
          <cell r="A674">
            <v>33526</v>
          </cell>
          <cell r="B674" t="str">
            <v>2026-09-21 00:00:00</v>
          </cell>
          <cell r="Q674" t="str">
            <v>34558930</v>
          </cell>
          <cell r="R674" t="str">
            <v>MUÑOZ GOMEZ ANDREA BEATRIZ EUGENIA</v>
          </cell>
          <cell r="Z674" t="str">
            <v>7726</v>
          </cell>
          <cell r="AG674" t="str">
            <v>ACTA</v>
          </cell>
          <cell r="AH674" t="str">
            <v>1583/2026</v>
          </cell>
        </row>
        <row r="675">
          <cell r="A675">
            <v>33626</v>
          </cell>
          <cell r="B675" t="str">
            <v>2026-09-21 00:00:00</v>
          </cell>
          <cell r="Q675" t="str">
            <v>79459578</v>
          </cell>
          <cell r="R675" t="str">
            <v>CONTRERAS FUSET SADI ALFONSO</v>
          </cell>
          <cell r="Z675" t="str">
            <v>7726</v>
          </cell>
          <cell r="AG675" t="str">
            <v>ACTA</v>
          </cell>
          <cell r="AH675" t="str">
            <v>1583/2026</v>
          </cell>
        </row>
        <row r="676">
          <cell r="A676">
            <v>33726</v>
          </cell>
          <cell r="B676" t="str">
            <v>2026-09-21 00:00:00</v>
          </cell>
          <cell r="Q676" t="str">
            <v>10143555</v>
          </cell>
          <cell r="R676" t="str">
            <v>VERA SANCHEZ MAURICIO</v>
          </cell>
          <cell r="Z676" t="str">
            <v>7726</v>
          </cell>
          <cell r="AG676" t="str">
            <v>ACTA</v>
          </cell>
          <cell r="AH676" t="str">
            <v>1583/2026</v>
          </cell>
        </row>
        <row r="677">
          <cell r="A677">
            <v>33826</v>
          </cell>
          <cell r="B677" t="str">
            <v>2026-09-24 00:00:00</v>
          </cell>
          <cell r="Q677" t="str">
            <v>899999284</v>
          </cell>
          <cell r="R677" t="str">
            <v>FONDO NACIONAL DEL AHORRO S.A.</v>
          </cell>
          <cell r="Z677" t="str">
            <v>426</v>
          </cell>
          <cell r="AG677" t="str">
            <v>NOMINA</v>
          </cell>
          <cell r="AH677" t="str">
            <v>SEPTIEMBRE</v>
          </cell>
        </row>
        <row r="678">
          <cell r="A678">
            <v>33926</v>
          </cell>
          <cell r="B678" t="str">
            <v>2026-09-24 00:00:00</v>
          </cell>
          <cell r="Q678" t="str">
            <v>830002593</v>
          </cell>
          <cell r="R678" t="str">
            <v>COMISION DE REGULACION DE COMUNICACIONES</v>
          </cell>
          <cell r="Z678" t="str">
            <v>426</v>
          </cell>
          <cell r="AG678" t="str">
            <v>NOMINA</v>
          </cell>
          <cell r="AH678" t="str">
            <v>SEPTIEMBRE 2026</v>
          </cell>
        </row>
        <row r="679">
          <cell r="A679">
            <v>33926</v>
          </cell>
          <cell r="B679" t="str">
            <v>2026-09-24 00:00:00</v>
          </cell>
          <cell r="Q679" t="str">
            <v>830002593</v>
          </cell>
          <cell r="R679" t="str">
            <v>COMISION DE REGULACION DE COMUNICACIONES</v>
          </cell>
          <cell r="Z679" t="str">
            <v>426</v>
          </cell>
          <cell r="AG679" t="str">
            <v>NOMINA</v>
          </cell>
          <cell r="AH679" t="str">
            <v>SEPTIEMBRE 2026</v>
          </cell>
        </row>
        <row r="680">
          <cell r="A680">
            <v>33926</v>
          </cell>
          <cell r="B680" t="str">
            <v>2026-09-24 00:00:00</v>
          </cell>
          <cell r="Q680" t="str">
            <v>830002593</v>
          </cell>
          <cell r="R680" t="str">
            <v>COMISION DE REGULACION DE COMUNICACIONES</v>
          </cell>
          <cell r="Z680" t="str">
            <v>426</v>
          </cell>
          <cell r="AG680" t="str">
            <v>NOMINA</v>
          </cell>
          <cell r="AH680" t="str">
            <v>SEPTIEMBRE 2026</v>
          </cell>
        </row>
        <row r="681">
          <cell r="A681">
            <v>33926</v>
          </cell>
          <cell r="B681" t="str">
            <v>2026-09-24 00:00:00</v>
          </cell>
          <cell r="Q681" t="str">
            <v>830002593</v>
          </cell>
          <cell r="R681" t="str">
            <v>COMISION DE REGULACION DE COMUNICACIONES</v>
          </cell>
          <cell r="Z681" t="str">
            <v>426</v>
          </cell>
          <cell r="AG681" t="str">
            <v>NOMINA</v>
          </cell>
          <cell r="AH681" t="str">
            <v>SEPTIEMBRE 2026</v>
          </cell>
        </row>
        <row r="682">
          <cell r="A682">
            <v>33926</v>
          </cell>
          <cell r="B682" t="str">
            <v>2026-09-24 00:00:00</v>
          </cell>
          <cell r="Q682" t="str">
            <v>830002593</v>
          </cell>
          <cell r="R682" t="str">
            <v>COMISION DE REGULACION DE COMUNICACIONES</v>
          </cell>
          <cell r="Z682" t="str">
            <v>426</v>
          </cell>
          <cell r="AG682" t="str">
            <v>NOMINA</v>
          </cell>
          <cell r="AH682" t="str">
            <v>SEPTIEMBRE 2026</v>
          </cell>
        </row>
        <row r="683">
          <cell r="A683">
            <v>33926</v>
          </cell>
          <cell r="B683" t="str">
            <v>2026-09-24 00:00:00</v>
          </cell>
          <cell r="Q683" t="str">
            <v>830002593</v>
          </cell>
          <cell r="R683" t="str">
            <v>COMISION DE REGULACION DE COMUNICACIONES</v>
          </cell>
          <cell r="Z683" t="str">
            <v>426</v>
          </cell>
          <cell r="AG683" t="str">
            <v>NOMINA</v>
          </cell>
          <cell r="AH683" t="str">
            <v>SEPTIEMBRE 2026</v>
          </cell>
        </row>
        <row r="684">
          <cell r="A684">
            <v>34026</v>
          </cell>
          <cell r="B684" t="str">
            <v>2026-09-24 00:00:00</v>
          </cell>
          <cell r="Q684" t="str">
            <v>860002503</v>
          </cell>
          <cell r="R684" t="str">
            <v>COMPAÑIA DE SEGUROS BOLIVAR S A TAMBIEN PODRA GIRAR BAJO LA DENOMINACION SEGUROS BOLIVAR S A</v>
          </cell>
          <cell r="Z684" t="str">
            <v>7526</v>
          </cell>
          <cell r="AG684" t="str">
            <v>PLANILLA SEGURIDAD SOCIAL</v>
          </cell>
          <cell r="AH684" t="str">
            <v>88363566</v>
          </cell>
        </row>
        <row r="685">
          <cell r="A685">
            <v>34126</v>
          </cell>
          <cell r="B685" t="str">
            <v>2026-09-28 00:00:00</v>
          </cell>
          <cell r="Q685" t="str">
            <v>800197268</v>
          </cell>
          <cell r="R685" t="str">
            <v>U.A.E. DIRECCION DE IMPUESTOS Y ADUANAS NACIONALES</v>
          </cell>
          <cell r="Z685" t="str">
            <v>19726</v>
          </cell>
          <cell r="AG685" t="str">
            <v>SOLICITUD</v>
          </cell>
          <cell r="AH685" t="str">
            <v>TESORERIA CRC</v>
          </cell>
        </row>
        <row r="686">
          <cell r="A686">
            <v>34126</v>
          </cell>
          <cell r="B686" t="str">
            <v>2026-09-28 00:00:00</v>
          </cell>
          <cell r="Q686" t="str">
            <v>800197268</v>
          </cell>
          <cell r="R686" t="str">
            <v>U.A.E. DIRECCION DE IMPUESTOS Y ADUANAS NACIONALES</v>
          </cell>
          <cell r="Z686" t="str">
            <v>19726</v>
          </cell>
          <cell r="AG686" t="str">
            <v>SOLICITUD</v>
          </cell>
          <cell r="AH686" t="str">
            <v>TESORERIA CRC</v>
          </cell>
        </row>
        <row r="687">
          <cell r="A687">
            <v>34126</v>
          </cell>
          <cell r="B687" t="str">
            <v>2026-09-28 00:00:00</v>
          </cell>
          <cell r="Q687" t="str">
            <v>800197268</v>
          </cell>
          <cell r="R687" t="str">
            <v>U.A.E. DIRECCION DE IMPUESTOS Y ADUANAS NACIONALES</v>
          </cell>
          <cell r="Z687" t="str">
            <v>19726</v>
          </cell>
          <cell r="AG687" t="str">
            <v>SOLICITUD</v>
          </cell>
          <cell r="AH687" t="str">
            <v>TESORERIA CRC</v>
          </cell>
        </row>
        <row r="688">
          <cell r="A688">
            <v>34126</v>
          </cell>
          <cell r="B688" t="str">
            <v>2026-09-28 00:00:00</v>
          </cell>
          <cell r="Q688" t="str">
            <v>800197268</v>
          </cell>
          <cell r="R688" t="str">
            <v>U.A.E. DIRECCION DE IMPUESTOS Y ADUANAS NACIONALES</v>
          </cell>
          <cell r="Z688" t="str">
            <v>19726</v>
          </cell>
          <cell r="AG688" t="str">
            <v>SOLICITUD</v>
          </cell>
          <cell r="AH688" t="str">
            <v>TESORERIA CRC</v>
          </cell>
        </row>
        <row r="689">
          <cell r="A689">
            <v>34126</v>
          </cell>
          <cell r="B689" t="str">
            <v>2026-09-28 00:00:00</v>
          </cell>
          <cell r="Q689" t="str">
            <v>800197268</v>
          </cell>
          <cell r="R689" t="str">
            <v>U.A.E. DIRECCION DE IMPUESTOS Y ADUANAS NACIONALES</v>
          </cell>
          <cell r="Z689" t="str">
            <v>19726</v>
          </cell>
          <cell r="AG689" t="str">
            <v>SOLICITUD</v>
          </cell>
          <cell r="AH689" t="str">
            <v>TESORERIA CRC</v>
          </cell>
        </row>
        <row r="690">
          <cell r="A690">
            <v>34126</v>
          </cell>
          <cell r="B690" t="str">
            <v>2026-09-28 00:00:00</v>
          </cell>
          <cell r="Q690" t="str">
            <v>800197268</v>
          </cell>
          <cell r="R690" t="str">
            <v>U.A.E. DIRECCION DE IMPUESTOS Y ADUANAS NACIONALES</v>
          </cell>
          <cell r="Z690" t="str">
            <v>19726</v>
          </cell>
          <cell r="AG690" t="str">
            <v>SOLICITUD</v>
          </cell>
          <cell r="AH690" t="str">
            <v>TESORERIA CRC</v>
          </cell>
        </row>
        <row r="691">
          <cell r="A691">
            <v>34126</v>
          </cell>
          <cell r="B691" t="str">
            <v>2026-09-28 00:00:00</v>
          </cell>
          <cell r="Q691" t="str">
            <v>800197268</v>
          </cell>
          <cell r="R691" t="str">
            <v>U.A.E. DIRECCION DE IMPUESTOS Y ADUANAS NACIONALES</v>
          </cell>
          <cell r="Z691" t="str">
            <v>19726</v>
          </cell>
          <cell r="AG691" t="str">
            <v>SOLICITUD</v>
          </cell>
          <cell r="AH691" t="str">
            <v>TESORERIA CRC</v>
          </cell>
        </row>
        <row r="692">
          <cell r="A692">
            <v>34126</v>
          </cell>
          <cell r="B692" t="str">
            <v>2026-09-28 00:00:00</v>
          </cell>
          <cell r="Q692" t="str">
            <v>800197268</v>
          </cell>
          <cell r="R692" t="str">
            <v>U.A.E. DIRECCION DE IMPUESTOS Y ADUANAS NACIONALES</v>
          </cell>
          <cell r="Z692" t="str">
            <v>19726</v>
          </cell>
          <cell r="AG692" t="str">
            <v>SOLICITUD</v>
          </cell>
          <cell r="AH692" t="str">
            <v>TESORERIA CRC</v>
          </cell>
        </row>
        <row r="693">
          <cell r="A693">
            <v>34126</v>
          </cell>
          <cell r="B693" t="str">
            <v>2026-09-28 00:00:00</v>
          </cell>
          <cell r="Q693" t="str">
            <v>800197268</v>
          </cell>
          <cell r="R693" t="str">
            <v>U.A.E. DIRECCION DE IMPUESTOS Y ADUANAS NACIONALES</v>
          </cell>
          <cell r="Z693" t="str">
            <v>19726</v>
          </cell>
          <cell r="AG693" t="str">
            <v>SOLICITUD</v>
          </cell>
          <cell r="AH693" t="str">
            <v>TESORERIA CRC</v>
          </cell>
        </row>
        <row r="694">
          <cell r="A694">
            <v>34126</v>
          </cell>
          <cell r="B694" t="str">
            <v>2026-09-28 00:00:00</v>
          </cell>
          <cell r="Q694" t="str">
            <v>800197268</v>
          </cell>
          <cell r="R694" t="str">
            <v>U.A.E. DIRECCION DE IMPUESTOS Y ADUANAS NACIONALES</v>
          </cell>
          <cell r="Z694" t="str">
            <v>19726</v>
          </cell>
          <cell r="AG694" t="str">
            <v>SOLICITUD</v>
          </cell>
          <cell r="AH694" t="str">
            <v>TESORERIA CRC</v>
          </cell>
        </row>
        <row r="695">
          <cell r="A695">
            <v>34126</v>
          </cell>
          <cell r="B695" t="str">
            <v>2026-09-28 00:00:00</v>
          </cell>
          <cell r="Q695" t="str">
            <v>800197268</v>
          </cell>
          <cell r="R695" t="str">
            <v>U.A.E. DIRECCION DE IMPUESTOS Y ADUANAS NACIONALES</v>
          </cell>
          <cell r="Z695" t="str">
            <v>19726</v>
          </cell>
          <cell r="AG695" t="str">
            <v>SOLICITUD</v>
          </cell>
          <cell r="AH695" t="str">
            <v>TESORERIA CRC</v>
          </cell>
        </row>
        <row r="696">
          <cell r="A696">
            <v>34126</v>
          </cell>
          <cell r="B696" t="str">
            <v>2026-09-28 00:00:00</v>
          </cell>
          <cell r="Q696" t="str">
            <v>800197268</v>
          </cell>
          <cell r="R696" t="str">
            <v>U.A.E. DIRECCION DE IMPUESTOS Y ADUANAS NACIONALES</v>
          </cell>
          <cell r="Z696" t="str">
            <v>19726</v>
          </cell>
          <cell r="AG696" t="str">
            <v>SOLICITUD</v>
          </cell>
          <cell r="AH696" t="str">
            <v>TESORERIA CRC</v>
          </cell>
        </row>
        <row r="697">
          <cell r="A697">
            <v>34126</v>
          </cell>
          <cell r="B697" t="str">
            <v>2026-09-28 00:00:00</v>
          </cell>
          <cell r="Q697" t="str">
            <v>800197268</v>
          </cell>
          <cell r="R697" t="str">
            <v>U.A.E. DIRECCION DE IMPUESTOS Y ADUANAS NACIONALES</v>
          </cell>
          <cell r="Z697" t="str">
            <v>19726</v>
          </cell>
          <cell r="AG697" t="str">
            <v>SOLICITUD</v>
          </cell>
          <cell r="AH697" t="str">
            <v>TESORERIA CRC</v>
          </cell>
        </row>
        <row r="698">
          <cell r="A698">
            <v>34226</v>
          </cell>
          <cell r="B698" t="str">
            <v>2026-09-28 00:00:00</v>
          </cell>
          <cell r="Q698" t="str">
            <v>800197268</v>
          </cell>
          <cell r="R698" t="str">
            <v>U.A.E. DIRECCION DE IMPUESTOS Y ADUANAS NACIONALES</v>
          </cell>
          <cell r="Z698" t="str">
            <v>426</v>
          </cell>
          <cell r="AG698" t="str">
            <v>SOLICITUD</v>
          </cell>
          <cell r="AH698" t="str">
            <v>TESORERIA CRC</v>
          </cell>
        </row>
        <row r="699">
          <cell r="A699">
            <v>34226</v>
          </cell>
          <cell r="B699" t="str">
            <v>2026-09-28 00:00:00</v>
          </cell>
          <cell r="Q699" t="str">
            <v>800197268</v>
          </cell>
          <cell r="R699" t="str">
            <v>U.A.E. DIRECCION DE IMPUESTOS Y ADUANAS NACIONALES</v>
          </cell>
          <cell r="Z699" t="str">
            <v>426</v>
          </cell>
          <cell r="AG699" t="str">
            <v>SOLICITUD</v>
          </cell>
          <cell r="AH699" t="str">
            <v>TESORERIA CRC</v>
          </cell>
        </row>
        <row r="700">
          <cell r="A700">
            <v>34226</v>
          </cell>
          <cell r="B700" t="str">
            <v>2026-09-28 00:00:00</v>
          </cell>
          <cell r="Q700" t="str">
            <v>800197268</v>
          </cell>
          <cell r="R700" t="str">
            <v>U.A.E. DIRECCION DE IMPUESTOS Y ADUANAS NACIONALES</v>
          </cell>
          <cell r="Z700" t="str">
            <v>426</v>
          </cell>
          <cell r="AG700" t="str">
            <v>SOLICITUD</v>
          </cell>
          <cell r="AH700" t="str">
            <v>TESORERIA CRC</v>
          </cell>
        </row>
        <row r="701">
          <cell r="A701">
            <v>34226</v>
          </cell>
          <cell r="B701" t="str">
            <v>2026-09-28 00:00:00</v>
          </cell>
          <cell r="Q701" t="str">
            <v>800197268</v>
          </cell>
          <cell r="R701" t="str">
            <v>U.A.E. DIRECCION DE IMPUESTOS Y ADUANAS NACIONALES</v>
          </cell>
          <cell r="Z701" t="str">
            <v>426</v>
          </cell>
          <cell r="AG701" t="str">
            <v>SOLICITUD</v>
          </cell>
          <cell r="AH701" t="str">
            <v>TESORERIA CRC</v>
          </cell>
        </row>
        <row r="702">
          <cell r="A702">
            <v>34226</v>
          </cell>
          <cell r="B702" t="str">
            <v>2026-09-28 00:00:00</v>
          </cell>
          <cell r="Q702" t="str">
            <v>800197268</v>
          </cell>
          <cell r="R702" t="str">
            <v>U.A.E. DIRECCION DE IMPUESTOS Y ADUANAS NACIONALES</v>
          </cell>
          <cell r="Z702" t="str">
            <v>426</v>
          </cell>
          <cell r="AG702" t="str">
            <v>SOLICITUD</v>
          </cell>
          <cell r="AH702" t="str">
            <v>TESORERIA CRC</v>
          </cell>
        </row>
        <row r="703">
          <cell r="A703">
            <v>34226</v>
          </cell>
          <cell r="B703" t="str">
            <v>2026-09-28 00:00:00</v>
          </cell>
          <cell r="Q703" t="str">
            <v>800197268</v>
          </cell>
          <cell r="R703" t="str">
            <v>U.A.E. DIRECCION DE IMPUESTOS Y ADUANAS NACIONALES</v>
          </cell>
          <cell r="Z703" t="str">
            <v>426</v>
          </cell>
          <cell r="AG703" t="str">
            <v>SOLICITUD</v>
          </cell>
          <cell r="AH703" t="str">
            <v>TESORERIA CRC</v>
          </cell>
        </row>
        <row r="704">
          <cell r="A704">
            <v>34326</v>
          </cell>
          <cell r="B704" t="str">
            <v>2026-09-28 00:00:00</v>
          </cell>
          <cell r="Q704" t="str">
            <v>800197268</v>
          </cell>
          <cell r="R704" t="str">
            <v>U.A.E. DIRECCION DE IMPUESTOS Y ADUANAS NACIONALES</v>
          </cell>
          <cell r="Z704" t="str">
            <v>326</v>
          </cell>
          <cell r="AG704" t="str">
            <v>SOLICITUD</v>
          </cell>
          <cell r="AH704" t="str">
            <v>TESORERIA CRC</v>
          </cell>
        </row>
        <row r="705">
          <cell r="A705">
            <v>34426</v>
          </cell>
          <cell r="B705" t="str">
            <v>2026-09-29 00:00:00</v>
          </cell>
          <cell r="Q705" t="str">
            <v>830101214</v>
          </cell>
          <cell r="R705" t="str">
            <v>CORPORACION COLOMBIA DIGITAL</v>
          </cell>
          <cell r="Z705" t="str">
            <v>19426</v>
          </cell>
          <cell r="AG705" t="str">
            <v>CONTRATO DE PRESTACION DE SERVICIOS</v>
          </cell>
          <cell r="AH705" t="str">
            <v>95/2026</v>
          </cell>
        </row>
        <row r="706">
          <cell r="A706">
            <v>34526</v>
          </cell>
          <cell r="B706" t="str">
            <v>2026-10-02 00:00:00</v>
          </cell>
          <cell r="Q706" t="str">
            <v>900516872</v>
          </cell>
          <cell r="R706" t="str">
            <v>EDIFICIO LINK 7-60</v>
          </cell>
          <cell r="Z706" t="str">
            <v>126</v>
          </cell>
          <cell r="AG706" t="str">
            <v>FACTURA</v>
          </cell>
          <cell r="AH706" t="str">
            <v>LK7964</v>
          </cell>
        </row>
      </sheetData>
      <sheetData sheetId="5">
        <row r="2">
          <cell r="A2" t="str">
            <v>126</v>
          </cell>
          <cell r="B2" t="str">
            <v>2026-01-05 00:00:00</v>
          </cell>
        </row>
        <row r="3">
          <cell r="A3" t="str">
            <v>226</v>
          </cell>
          <cell r="B3" t="str">
            <v>2026-01-05 00:00:00</v>
          </cell>
        </row>
        <row r="4">
          <cell r="A4" t="str">
            <v>226</v>
          </cell>
          <cell r="B4" t="str">
            <v>2026-01-05 00:00:00</v>
          </cell>
        </row>
        <row r="5">
          <cell r="A5" t="str">
            <v>226</v>
          </cell>
          <cell r="B5" t="str">
            <v>2026-01-05 00:00:00</v>
          </cell>
        </row>
        <row r="6">
          <cell r="A6" t="str">
            <v>226</v>
          </cell>
          <cell r="B6" t="str">
            <v>2026-01-05 00:00:00</v>
          </cell>
        </row>
        <row r="7">
          <cell r="A7" t="str">
            <v>226</v>
          </cell>
          <cell r="B7" t="str">
            <v>2026-01-05 00:00:00</v>
          </cell>
        </row>
        <row r="8">
          <cell r="A8" t="str">
            <v>226</v>
          </cell>
          <cell r="B8" t="str">
            <v>2026-01-05 00:00:00</v>
          </cell>
        </row>
        <row r="9">
          <cell r="A9" t="str">
            <v>226</v>
          </cell>
          <cell r="B9" t="str">
            <v>2026-01-05 00:00:00</v>
          </cell>
        </row>
        <row r="10">
          <cell r="A10" t="str">
            <v>226</v>
          </cell>
          <cell r="B10" t="str">
            <v>2026-01-05 00:00:00</v>
          </cell>
        </row>
        <row r="11">
          <cell r="A11" t="str">
            <v>226</v>
          </cell>
          <cell r="B11" t="str">
            <v>2026-01-05 00:00:00</v>
          </cell>
        </row>
        <row r="12">
          <cell r="A12" t="str">
            <v>226</v>
          </cell>
          <cell r="B12" t="str">
            <v>2026-01-05 00:00:00</v>
          </cell>
        </row>
        <row r="13">
          <cell r="A13" t="str">
            <v>326</v>
          </cell>
          <cell r="B13" t="str">
            <v>2026-01-06 00:00:00</v>
          </cell>
        </row>
        <row r="14">
          <cell r="A14" t="str">
            <v>326</v>
          </cell>
          <cell r="B14" t="str">
            <v>2026-01-06 00:00:00</v>
          </cell>
        </row>
        <row r="15">
          <cell r="A15" t="str">
            <v>326</v>
          </cell>
          <cell r="B15" t="str">
            <v>2026-01-06 00:00:00</v>
          </cell>
        </row>
        <row r="16">
          <cell r="A16" t="str">
            <v>326</v>
          </cell>
          <cell r="B16" t="str">
            <v>2026-01-06 00:00:00</v>
          </cell>
        </row>
        <row r="17">
          <cell r="A17" t="str">
            <v>326</v>
          </cell>
          <cell r="B17" t="str">
            <v>2026-01-06 00:00:00</v>
          </cell>
        </row>
        <row r="18">
          <cell r="A18" t="str">
            <v>326</v>
          </cell>
          <cell r="B18" t="str">
            <v>2026-01-06 00:00:00</v>
          </cell>
        </row>
        <row r="19">
          <cell r="A19" t="str">
            <v>326</v>
          </cell>
          <cell r="B19" t="str">
            <v>2026-01-06 00:00:00</v>
          </cell>
        </row>
        <row r="20">
          <cell r="A20" t="str">
            <v>326</v>
          </cell>
          <cell r="B20" t="str">
            <v>2026-01-06 00:00:00</v>
          </cell>
        </row>
        <row r="21">
          <cell r="A21" t="str">
            <v>326</v>
          </cell>
          <cell r="B21" t="str">
            <v>2026-01-06 00:00:00</v>
          </cell>
        </row>
        <row r="22">
          <cell r="A22" t="str">
            <v>326</v>
          </cell>
          <cell r="B22" t="str">
            <v>2026-01-06 00:00:00</v>
          </cell>
        </row>
        <row r="23">
          <cell r="A23" t="str">
            <v>326</v>
          </cell>
          <cell r="B23" t="str">
            <v>2026-01-06 00:00:00</v>
          </cell>
        </row>
        <row r="24">
          <cell r="A24" t="str">
            <v>326</v>
          </cell>
          <cell r="B24" t="str">
            <v>2026-01-06 00:00:00</v>
          </cell>
        </row>
        <row r="25">
          <cell r="A25" t="str">
            <v>326</v>
          </cell>
          <cell r="B25" t="str">
            <v>2026-01-06 00:00:00</v>
          </cell>
        </row>
        <row r="26">
          <cell r="A26" t="str">
            <v>326</v>
          </cell>
          <cell r="B26" t="str">
            <v>2026-01-06 00:00:00</v>
          </cell>
        </row>
        <row r="27">
          <cell r="A27" t="str">
            <v>326</v>
          </cell>
          <cell r="B27" t="str">
            <v>2026-01-06 00:00:00</v>
          </cell>
        </row>
        <row r="28">
          <cell r="A28" t="str">
            <v>326</v>
          </cell>
          <cell r="B28" t="str">
            <v>2026-01-06 00:00:00</v>
          </cell>
        </row>
        <row r="29">
          <cell r="A29" t="str">
            <v>326</v>
          </cell>
          <cell r="B29" t="str">
            <v>2026-01-06 00:00:00</v>
          </cell>
        </row>
        <row r="30">
          <cell r="A30" t="str">
            <v>326</v>
          </cell>
          <cell r="B30" t="str">
            <v>2026-01-06 00:00:00</v>
          </cell>
        </row>
        <row r="31">
          <cell r="A31" t="str">
            <v>426</v>
          </cell>
          <cell r="B31" t="str">
            <v>2026-01-06 00:00:00</v>
          </cell>
        </row>
        <row r="32">
          <cell r="A32" t="str">
            <v>426</v>
          </cell>
          <cell r="B32" t="str">
            <v>2026-01-06 00:00:00</v>
          </cell>
        </row>
        <row r="33">
          <cell r="A33" t="str">
            <v>426</v>
          </cell>
          <cell r="B33" t="str">
            <v>2026-01-06 00:00:00</v>
          </cell>
        </row>
        <row r="34">
          <cell r="A34" t="str">
            <v>426</v>
          </cell>
          <cell r="B34" t="str">
            <v>2026-01-06 00:00:00</v>
          </cell>
        </row>
        <row r="35">
          <cell r="A35" t="str">
            <v>426</v>
          </cell>
          <cell r="B35" t="str">
            <v>2026-01-06 00:00:00</v>
          </cell>
        </row>
        <row r="36">
          <cell r="A36" t="str">
            <v>426</v>
          </cell>
          <cell r="B36" t="str">
            <v>2026-01-06 00:00:00</v>
          </cell>
        </row>
        <row r="37">
          <cell r="A37" t="str">
            <v>426</v>
          </cell>
          <cell r="B37" t="str">
            <v>2026-01-06 00:00:00</v>
          </cell>
        </row>
        <row r="38">
          <cell r="A38" t="str">
            <v>526</v>
          </cell>
          <cell r="B38" t="str">
            <v>2026-01-06 00:00:00</v>
          </cell>
        </row>
        <row r="39">
          <cell r="A39" t="str">
            <v>526</v>
          </cell>
          <cell r="B39" t="str">
            <v>2026-01-06 00:00:00</v>
          </cell>
        </row>
        <row r="40">
          <cell r="A40" t="str">
            <v>626</v>
          </cell>
          <cell r="B40" t="str">
            <v>2026-01-06 00:00:00</v>
          </cell>
        </row>
        <row r="41">
          <cell r="A41" t="str">
            <v>626</v>
          </cell>
          <cell r="B41" t="str">
            <v>2026-01-06 00:00:00</v>
          </cell>
        </row>
        <row r="42">
          <cell r="A42" t="str">
            <v>626</v>
          </cell>
          <cell r="B42" t="str">
            <v>2026-01-06 00:00:00</v>
          </cell>
        </row>
        <row r="43">
          <cell r="A43" t="str">
            <v>726</v>
          </cell>
          <cell r="B43" t="str">
            <v>2026-01-07 00:00:00</v>
          </cell>
        </row>
        <row r="44">
          <cell r="A44" t="str">
            <v>826</v>
          </cell>
          <cell r="B44" t="str">
            <v>2026-01-07 00:00:00</v>
          </cell>
        </row>
        <row r="45">
          <cell r="A45" t="str">
            <v>926</v>
          </cell>
          <cell r="B45" t="str">
            <v>2026-01-07 00:00:00</v>
          </cell>
        </row>
        <row r="46">
          <cell r="A46" t="str">
            <v>1026</v>
          </cell>
          <cell r="B46" t="str">
            <v>2026-01-07 00:00:00</v>
          </cell>
        </row>
        <row r="47">
          <cell r="A47" t="str">
            <v>1126</v>
          </cell>
          <cell r="B47" t="str">
            <v>2026-01-07 00:00:00</v>
          </cell>
        </row>
        <row r="48">
          <cell r="A48" t="str">
            <v>1226</v>
          </cell>
          <cell r="B48" t="str">
            <v>2026-01-07 00:00:00</v>
          </cell>
        </row>
        <row r="49">
          <cell r="A49" t="str">
            <v>1326</v>
          </cell>
          <cell r="B49" t="str">
            <v>2026-01-07 00:00:00</v>
          </cell>
        </row>
        <row r="50">
          <cell r="A50" t="str">
            <v>1426</v>
          </cell>
          <cell r="B50" t="str">
            <v>2026-01-07 00:00:00</v>
          </cell>
        </row>
        <row r="51">
          <cell r="A51" t="str">
            <v>1526</v>
          </cell>
          <cell r="B51" t="str">
            <v>2026-01-07 00:00:00</v>
          </cell>
        </row>
        <row r="52">
          <cell r="A52" t="str">
            <v>1626</v>
          </cell>
          <cell r="B52" t="str">
            <v>2026-01-07 00:00:00</v>
          </cell>
        </row>
        <row r="53">
          <cell r="A53" t="str">
            <v>1726</v>
          </cell>
          <cell r="B53" t="str">
            <v>2026-01-07 00:00:00</v>
          </cell>
        </row>
        <row r="54">
          <cell r="A54" t="str">
            <v>1826</v>
          </cell>
          <cell r="B54" t="str">
            <v>2026-01-07 00:00:00</v>
          </cell>
        </row>
        <row r="55">
          <cell r="A55" t="str">
            <v>1926</v>
          </cell>
          <cell r="B55" t="str">
            <v>2026-01-07 00:00:00</v>
          </cell>
        </row>
        <row r="56">
          <cell r="A56" t="str">
            <v>2026</v>
          </cell>
          <cell r="B56" t="str">
            <v>2026-01-07 00:00:00</v>
          </cell>
        </row>
        <row r="57">
          <cell r="A57" t="str">
            <v>2126</v>
          </cell>
          <cell r="B57" t="str">
            <v>2026-01-07 00:00:00</v>
          </cell>
        </row>
        <row r="58">
          <cell r="A58" t="str">
            <v>2226</v>
          </cell>
          <cell r="B58" t="str">
            <v>2026-01-07 00:00:00</v>
          </cell>
        </row>
        <row r="59">
          <cell r="A59" t="str">
            <v>2326</v>
          </cell>
          <cell r="B59" t="str">
            <v>2026-01-07 00:00:00</v>
          </cell>
        </row>
        <row r="60">
          <cell r="A60" t="str">
            <v>2426</v>
          </cell>
          <cell r="B60" t="str">
            <v>2026-01-07 00:00:00</v>
          </cell>
        </row>
        <row r="61">
          <cell r="A61" t="str">
            <v>2526</v>
          </cell>
          <cell r="B61" t="str">
            <v>2026-01-07 00:00:00</v>
          </cell>
        </row>
        <row r="62">
          <cell r="A62" t="str">
            <v>2626</v>
          </cell>
          <cell r="B62" t="str">
            <v>2026-01-08 00:00:00</v>
          </cell>
        </row>
        <row r="63">
          <cell r="A63" t="str">
            <v>2726</v>
          </cell>
          <cell r="B63" t="str">
            <v>2026-01-08 00:00:00</v>
          </cell>
        </row>
        <row r="64">
          <cell r="A64" t="str">
            <v>2826</v>
          </cell>
          <cell r="B64" t="str">
            <v>2026-01-08 00:00:00</v>
          </cell>
        </row>
        <row r="65">
          <cell r="A65" t="str">
            <v>2926</v>
          </cell>
          <cell r="B65" t="str">
            <v>2026-01-08 00:00:00</v>
          </cell>
        </row>
        <row r="66">
          <cell r="A66" t="str">
            <v>3026</v>
          </cell>
          <cell r="B66" t="str">
            <v>2026-01-08 00:00:00</v>
          </cell>
        </row>
        <row r="67">
          <cell r="A67" t="str">
            <v>3126</v>
          </cell>
          <cell r="B67" t="str">
            <v>2026-01-08 00:00:00</v>
          </cell>
        </row>
        <row r="68">
          <cell r="A68" t="str">
            <v>3226</v>
          </cell>
          <cell r="B68" t="str">
            <v>2026-01-08 00:00:00</v>
          </cell>
        </row>
        <row r="69">
          <cell r="A69" t="str">
            <v>3326</v>
          </cell>
          <cell r="B69" t="str">
            <v>2026-01-08 00:00:00</v>
          </cell>
        </row>
        <row r="70">
          <cell r="A70" t="str">
            <v>3426</v>
          </cell>
          <cell r="B70" t="str">
            <v>2026-01-08 00:00:00</v>
          </cell>
        </row>
        <row r="71">
          <cell r="A71" t="str">
            <v>3526</v>
          </cell>
          <cell r="B71" t="str">
            <v>2026-01-08 00:00:00</v>
          </cell>
        </row>
        <row r="72">
          <cell r="A72" t="str">
            <v>3626</v>
          </cell>
          <cell r="B72" t="str">
            <v>2026-01-08 00:00:00</v>
          </cell>
        </row>
        <row r="73">
          <cell r="A73" t="str">
            <v>3726</v>
          </cell>
          <cell r="B73" t="str">
            <v>2026-01-08 00:00:00</v>
          </cell>
        </row>
        <row r="74">
          <cell r="A74" t="str">
            <v>3826</v>
          </cell>
          <cell r="B74" t="str">
            <v>2026-01-08 00:00:00</v>
          </cell>
        </row>
        <row r="75">
          <cell r="A75" t="str">
            <v>3926</v>
          </cell>
          <cell r="B75" t="str">
            <v>2026-01-08 00:00:00</v>
          </cell>
        </row>
        <row r="76">
          <cell r="A76" t="str">
            <v>4026</v>
          </cell>
          <cell r="B76" t="str">
            <v>2026-01-08 00:00:00</v>
          </cell>
        </row>
        <row r="77">
          <cell r="A77" t="str">
            <v>4126</v>
          </cell>
          <cell r="B77" t="str">
            <v>2026-01-08 00:00:00</v>
          </cell>
        </row>
        <row r="78">
          <cell r="A78" t="str">
            <v>4226</v>
          </cell>
          <cell r="B78" t="str">
            <v>2026-01-08 00:00:00</v>
          </cell>
        </row>
        <row r="79">
          <cell r="A79" t="str">
            <v>4326</v>
          </cell>
          <cell r="B79" t="str">
            <v>2026-01-08 00:00:00</v>
          </cell>
        </row>
        <row r="80">
          <cell r="A80" t="str">
            <v>4426</v>
          </cell>
          <cell r="B80" t="str">
            <v>2026-01-08 00:00:00</v>
          </cell>
        </row>
        <row r="81">
          <cell r="A81" t="str">
            <v>4526</v>
          </cell>
          <cell r="B81" t="str">
            <v>2026-01-08 00:00:00</v>
          </cell>
        </row>
        <row r="82">
          <cell r="A82" t="str">
            <v>4626</v>
          </cell>
          <cell r="B82" t="str">
            <v>2026-01-08 00:00:00</v>
          </cell>
        </row>
        <row r="83">
          <cell r="A83" t="str">
            <v>4726</v>
          </cell>
          <cell r="B83" t="str">
            <v>2026-01-08 00:00:00</v>
          </cell>
        </row>
        <row r="84">
          <cell r="A84" t="str">
            <v>4826</v>
          </cell>
          <cell r="B84" t="str">
            <v>2026-01-08 00:00:00</v>
          </cell>
        </row>
        <row r="85">
          <cell r="A85" t="str">
            <v>4926</v>
          </cell>
          <cell r="B85" t="str">
            <v>2026-01-08 00:00:00</v>
          </cell>
        </row>
        <row r="86">
          <cell r="A86" t="str">
            <v>5026</v>
          </cell>
          <cell r="B86" t="str">
            <v>2026-01-08 00:00:00</v>
          </cell>
        </row>
        <row r="87">
          <cell r="A87" t="str">
            <v>5126</v>
          </cell>
          <cell r="B87" t="str">
            <v>2026-01-08 00:00:00</v>
          </cell>
        </row>
        <row r="88">
          <cell r="A88" t="str">
            <v>5226</v>
          </cell>
          <cell r="B88" t="str">
            <v>2026-01-08 00:00:00</v>
          </cell>
        </row>
        <row r="89">
          <cell r="A89" t="str">
            <v>5326</v>
          </cell>
          <cell r="B89" t="str">
            <v>2026-01-08 00:00:00</v>
          </cell>
        </row>
        <row r="90">
          <cell r="A90" t="str">
            <v>5426</v>
          </cell>
          <cell r="B90" t="str">
            <v>2026-01-08 00:00:00</v>
          </cell>
        </row>
        <row r="91">
          <cell r="A91" t="str">
            <v>5526</v>
          </cell>
          <cell r="B91" t="str">
            <v>2026-01-08 00:00:00</v>
          </cell>
        </row>
        <row r="92">
          <cell r="A92" t="str">
            <v>5626</v>
          </cell>
          <cell r="B92" t="str">
            <v>2026-01-08 00:00:00</v>
          </cell>
        </row>
        <row r="93">
          <cell r="A93" t="str">
            <v>5726</v>
          </cell>
          <cell r="B93" t="str">
            <v>2026-01-08 00:00:00</v>
          </cell>
        </row>
        <row r="94">
          <cell r="A94" t="str">
            <v>5826</v>
          </cell>
          <cell r="B94" t="str">
            <v>2026-01-08 00:00:00</v>
          </cell>
        </row>
        <row r="95">
          <cell r="A95" t="str">
            <v>5926</v>
          </cell>
          <cell r="B95" t="str">
            <v>2026-01-08 00:00:00</v>
          </cell>
        </row>
        <row r="96">
          <cell r="A96" t="str">
            <v>6026</v>
          </cell>
          <cell r="B96" t="str">
            <v>2026-01-08 00:00:00</v>
          </cell>
        </row>
        <row r="97">
          <cell r="A97" t="str">
            <v>6126</v>
          </cell>
          <cell r="B97" t="str">
            <v>2026-01-08 00:00:00</v>
          </cell>
        </row>
        <row r="98">
          <cell r="A98" t="str">
            <v>6226</v>
          </cell>
          <cell r="B98" t="str">
            <v>2026-01-08 00:00:00</v>
          </cell>
        </row>
        <row r="99">
          <cell r="A99" t="str">
            <v>6326</v>
          </cell>
          <cell r="B99" t="str">
            <v>2026-01-08 00:00:00</v>
          </cell>
        </row>
        <row r="100">
          <cell r="A100" t="str">
            <v>6426</v>
          </cell>
          <cell r="B100" t="str">
            <v>2026-01-08 00:00:00</v>
          </cell>
        </row>
        <row r="101">
          <cell r="A101" t="str">
            <v>6526</v>
          </cell>
          <cell r="B101" t="str">
            <v>2026-01-08 00:00:00</v>
          </cell>
        </row>
        <row r="102">
          <cell r="A102" t="str">
            <v>6626</v>
          </cell>
          <cell r="B102" t="str">
            <v>2026-01-15 00:00:00</v>
          </cell>
        </row>
        <row r="103">
          <cell r="A103" t="str">
            <v>6626</v>
          </cell>
          <cell r="B103" t="str">
            <v>2026-01-15 00:00:00</v>
          </cell>
        </row>
        <row r="104">
          <cell r="A104" t="str">
            <v>6726</v>
          </cell>
          <cell r="B104" t="str">
            <v>2026-01-15 00:00:00</v>
          </cell>
        </row>
        <row r="105">
          <cell r="A105" t="str">
            <v>6826</v>
          </cell>
          <cell r="B105" t="str">
            <v>2026-01-15 00:00:00</v>
          </cell>
        </row>
        <row r="106">
          <cell r="A106" t="str">
            <v>6926</v>
          </cell>
          <cell r="B106" t="str">
            <v>2026-01-15 00:00:00</v>
          </cell>
        </row>
        <row r="107">
          <cell r="A107" t="str">
            <v>7026</v>
          </cell>
          <cell r="B107" t="str">
            <v>2026-01-15 00:00:00</v>
          </cell>
        </row>
        <row r="108">
          <cell r="A108" t="str">
            <v>7126</v>
          </cell>
          <cell r="B108" t="str">
            <v>2026-01-15 00:00:00</v>
          </cell>
        </row>
        <row r="109">
          <cell r="A109" t="str">
            <v>7226</v>
          </cell>
          <cell r="B109" t="str">
            <v>2026-01-15 00:00:00</v>
          </cell>
        </row>
        <row r="110">
          <cell r="A110" t="str">
            <v>7326</v>
          </cell>
          <cell r="B110" t="str">
            <v>2026-01-15 00:00:00</v>
          </cell>
        </row>
        <row r="111">
          <cell r="A111" t="str">
            <v>7426</v>
          </cell>
          <cell r="B111" t="str">
            <v>2026-01-15 00:00:00</v>
          </cell>
        </row>
        <row r="112">
          <cell r="A112" t="str">
            <v>7526</v>
          </cell>
          <cell r="B112" t="str">
            <v>2026-01-26 00:00:00</v>
          </cell>
        </row>
        <row r="113">
          <cell r="A113" t="str">
            <v>7626</v>
          </cell>
          <cell r="B113" t="str">
            <v>2026-01-26 00:00:00</v>
          </cell>
        </row>
        <row r="114">
          <cell r="A114" t="str">
            <v>7726</v>
          </cell>
          <cell r="B114" t="str">
            <v>2026-01-28 00:00:00</v>
          </cell>
        </row>
        <row r="115">
          <cell r="A115" t="str">
            <v>7826</v>
          </cell>
          <cell r="B115" t="str">
            <v>2026-01-28 00:00:00</v>
          </cell>
        </row>
        <row r="116">
          <cell r="A116" t="str">
            <v>7826</v>
          </cell>
          <cell r="B116" t="str">
            <v>2026-01-28 00:00:00</v>
          </cell>
        </row>
        <row r="117">
          <cell r="A117" t="str">
            <v>7826</v>
          </cell>
          <cell r="B117" t="str">
            <v>2026-01-28 00:00:00</v>
          </cell>
        </row>
        <row r="118">
          <cell r="A118" t="str">
            <v>7826</v>
          </cell>
          <cell r="B118" t="str">
            <v>2026-01-28 00:00:00</v>
          </cell>
        </row>
        <row r="119">
          <cell r="A119" t="str">
            <v>7826</v>
          </cell>
          <cell r="B119" t="str">
            <v>2026-01-28 00:00:00</v>
          </cell>
        </row>
        <row r="120">
          <cell r="A120" t="str">
            <v>7826</v>
          </cell>
          <cell r="B120" t="str">
            <v>2026-01-28 00:00:00</v>
          </cell>
        </row>
        <row r="121">
          <cell r="A121" t="str">
            <v>7826</v>
          </cell>
          <cell r="B121" t="str">
            <v>2026-01-28 00:00:00</v>
          </cell>
        </row>
        <row r="122">
          <cell r="A122" t="str">
            <v>7826</v>
          </cell>
          <cell r="B122" t="str">
            <v>2026-01-28 00:00:00</v>
          </cell>
        </row>
        <row r="123">
          <cell r="A123" t="str">
            <v>7826</v>
          </cell>
          <cell r="B123" t="str">
            <v>2026-01-28 00:00:00</v>
          </cell>
        </row>
        <row r="124">
          <cell r="A124" t="str">
            <v>7826</v>
          </cell>
          <cell r="B124" t="str">
            <v>2026-01-28 00:00:00</v>
          </cell>
        </row>
        <row r="125">
          <cell r="A125" t="str">
            <v>7826</v>
          </cell>
          <cell r="B125" t="str">
            <v>2026-01-28 00:00:00</v>
          </cell>
        </row>
        <row r="126">
          <cell r="A126" t="str">
            <v>7826</v>
          </cell>
          <cell r="B126" t="str">
            <v>2026-01-28 00:00:00</v>
          </cell>
        </row>
        <row r="127">
          <cell r="A127" t="str">
            <v>7826</v>
          </cell>
          <cell r="B127" t="str">
            <v>2026-01-28 00:00:00</v>
          </cell>
        </row>
        <row r="128">
          <cell r="A128" t="str">
            <v>7826</v>
          </cell>
          <cell r="B128" t="str">
            <v>2026-01-28 00:00:00</v>
          </cell>
        </row>
        <row r="129">
          <cell r="A129" t="str">
            <v>7826</v>
          </cell>
          <cell r="B129" t="str">
            <v>2026-01-28 00:00:00</v>
          </cell>
        </row>
        <row r="130">
          <cell r="A130" t="str">
            <v>7926</v>
          </cell>
          <cell r="B130" t="str">
            <v>2026-01-30 00:00:00</v>
          </cell>
        </row>
        <row r="131">
          <cell r="A131" t="str">
            <v>8026</v>
          </cell>
          <cell r="B131" t="str">
            <v>2026-01-30 00:00:00</v>
          </cell>
        </row>
        <row r="132">
          <cell r="A132" t="str">
            <v>8126</v>
          </cell>
          <cell r="B132" t="str">
            <v>2026-02-04 00:00:00</v>
          </cell>
        </row>
        <row r="133">
          <cell r="A133" t="str">
            <v>8226</v>
          </cell>
          <cell r="B133" t="str">
            <v>2026-02-04 00:00:00</v>
          </cell>
        </row>
        <row r="134">
          <cell r="A134" t="str">
            <v>8326</v>
          </cell>
          <cell r="B134" t="str">
            <v>2026-02-04 00:00:00</v>
          </cell>
        </row>
        <row r="135">
          <cell r="A135" t="str">
            <v>8426</v>
          </cell>
          <cell r="B135" t="str">
            <v>2026-02-04 00:00:00</v>
          </cell>
        </row>
        <row r="136">
          <cell r="A136" t="str">
            <v>8426</v>
          </cell>
          <cell r="B136" t="str">
            <v>2026-02-04 00:00:00</v>
          </cell>
        </row>
        <row r="137">
          <cell r="A137" t="str">
            <v>8426</v>
          </cell>
          <cell r="B137" t="str">
            <v>2026-02-04 00:00:00</v>
          </cell>
        </row>
        <row r="138">
          <cell r="A138" t="str">
            <v>8426</v>
          </cell>
          <cell r="B138" t="str">
            <v>2026-02-04 00:00:00</v>
          </cell>
        </row>
        <row r="139">
          <cell r="A139" t="str">
            <v>8526</v>
          </cell>
          <cell r="B139" t="str">
            <v>2026-02-11 00:00:00</v>
          </cell>
        </row>
        <row r="140">
          <cell r="A140" t="str">
            <v>8626</v>
          </cell>
          <cell r="B140" t="str">
            <v>2026-02-11 00:00:00</v>
          </cell>
        </row>
        <row r="141">
          <cell r="A141" t="str">
            <v>8726</v>
          </cell>
          <cell r="B141" t="str">
            <v>2026-02-12 00:00:00</v>
          </cell>
        </row>
        <row r="142">
          <cell r="A142" t="str">
            <v>8826</v>
          </cell>
          <cell r="B142" t="str">
            <v>2026-02-12 00:00:00</v>
          </cell>
        </row>
        <row r="143">
          <cell r="A143" t="str">
            <v>8926</v>
          </cell>
          <cell r="B143" t="str">
            <v>2026-02-12 00:00:00</v>
          </cell>
        </row>
        <row r="144">
          <cell r="A144" t="str">
            <v>9026</v>
          </cell>
          <cell r="B144" t="str">
            <v>2026-02-12 00:00:00</v>
          </cell>
        </row>
        <row r="145">
          <cell r="A145" t="str">
            <v>9026</v>
          </cell>
          <cell r="B145" t="str">
            <v>2026-02-12 00:00:00</v>
          </cell>
        </row>
        <row r="146">
          <cell r="A146" t="str">
            <v>9126</v>
          </cell>
          <cell r="B146" t="str">
            <v>2026-02-19 00:00:00</v>
          </cell>
        </row>
        <row r="147">
          <cell r="A147" t="str">
            <v>9126</v>
          </cell>
          <cell r="B147" t="str">
            <v>2026-02-19 00:00:00</v>
          </cell>
        </row>
        <row r="148">
          <cell r="A148" t="str">
            <v>9126</v>
          </cell>
          <cell r="B148" t="str">
            <v>2026-02-19 00:00:00</v>
          </cell>
        </row>
        <row r="149">
          <cell r="A149" t="str">
            <v>9226</v>
          </cell>
          <cell r="B149" t="str">
            <v>2026-02-20 00:00:00</v>
          </cell>
        </row>
        <row r="150">
          <cell r="A150" t="str">
            <v>9326</v>
          </cell>
          <cell r="B150" t="str">
            <v>2026-02-23 00:00:00</v>
          </cell>
        </row>
        <row r="151">
          <cell r="A151" t="str">
            <v>9426</v>
          </cell>
          <cell r="B151" t="str">
            <v>2026-02-24 00:00:00</v>
          </cell>
        </row>
        <row r="152">
          <cell r="A152" t="str">
            <v>9526</v>
          </cell>
          <cell r="B152" t="str">
            <v>2026-02-25 00:00:00</v>
          </cell>
        </row>
        <row r="153">
          <cell r="A153" t="str">
            <v>9526</v>
          </cell>
          <cell r="B153" t="str">
            <v>2026-02-25 00:00:00</v>
          </cell>
        </row>
        <row r="154">
          <cell r="A154" t="str">
            <v>9626</v>
          </cell>
          <cell r="B154" t="str">
            <v>2026-02-25 00:00:00</v>
          </cell>
        </row>
        <row r="155">
          <cell r="A155" t="str">
            <v>9726</v>
          </cell>
          <cell r="B155" t="str">
            <v>2026-02-25 00:00:00</v>
          </cell>
        </row>
        <row r="156">
          <cell r="A156" t="str">
            <v>9826</v>
          </cell>
          <cell r="B156" t="str">
            <v>2026-02-25 00:00:00</v>
          </cell>
        </row>
        <row r="157">
          <cell r="A157" t="str">
            <v>9926</v>
          </cell>
          <cell r="B157" t="str">
            <v>2026-02-26 00:00:00</v>
          </cell>
        </row>
        <row r="158">
          <cell r="A158" t="str">
            <v>10026</v>
          </cell>
          <cell r="B158" t="str">
            <v>2026-02-26 00:00:00</v>
          </cell>
        </row>
        <row r="159">
          <cell r="A159" t="str">
            <v>10126</v>
          </cell>
          <cell r="B159" t="str">
            <v>2026-02-27 00:00:00</v>
          </cell>
        </row>
        <row r="160">
          <cell r="A160" t="str">
            <v>10226</v>
          </cell>
          <cell r="B160" t="str">
            <v>2026-03-02 00:00:00</v>
          </cell>
        </row>
        <row r="161">
          <cell r="A161" t="str">
            <v>10326</v>
          </cell>
          <cell r="B161" t="str">
            <v>2026-03-05 00:00:00</v>
          </cell>
        </row>
        <row r="162">
          <cell r="A162" t="str">
            <v>10326</v>
          </cell>
          <cell r="B162" t="str">
            <v>2026-03-05 00:00:00</v>
          </cell>
        </row>
        <row r="163">
          <cell r="A163" t="str">
            <v>10426</v>
          </cell>
          <cell r="B163" t="str">
            <v>2026-03-05 00:00:00</v>
          </cell>
        </row>
        <row r="164">
          <cell r="A164" t="str">
            <v>10526</v>
          </cell>
          <cell r="B164" t="str">
            <v>2026-03-06 00:00:00</v>
          </cell>
        </row>
        <row r="165">
          <cell r="A165" t="str">
            <v>10626</v>
          </cell>
          <cell r="B165" t="str">
            <v>2026-03-06 00:00:00</v>
          </cell>
        </row>
        <row r="166">
          <cell r="A166" t="str">
            <v>10726</v>
          </cell>
          <cell r="B166" t="str">
            <v>2026-03-09 00:00:00</v>
          </cell>
        </row>
        <row r="167">
          <cell r="A167" t="str">
            <v>10826</v>
          </cell>
          <cell r="B167" t="str">
            <v>2026-03-13 00:00:00</v>
          </cell>
        </row>
        <row r="168">
          <cell r="A168" t="str">
            <v>10926</v>
          </cell>
          <cell r="B168" t="str">
            <v>2026-03-16 00:00:00</v>
          </cell>
        </row>
        <row r="169">
          <cell r="A169" t="str">
            <v>11026</v>
          </cell>
          <cell r="B169" t="str">
            <v>2026-03-16 00:00:00</v>
          </cell>
        </row>
        <row r="170">
          <cell r="A170" t="str">
            <v>11126</v>
          </cell>
          <cell r="B170" t="str">
            <v>2026-03-19 00:00:00</v>
          </cell>
        </row>
        <row r="171">
          <cell r="A171" t="str">
            <v>11226</v>
          </cell>
          <cell r="B171" t="str">
            <v>2026-03-24 00:00:00</v>
          </cell>
        </row>
        <row r="172">
          <cell r="A172" t="str">
            <v>11226</v>
          </cell>
          <cell r="B172" t="str">
            <v>2026-03-24 00:00:00</v>
          </cell>
        </row>
        <row r="173">
          <cell r="A173" t="str">
            <v>11226</v>
          </cell>
          <cell r="B173" t="str">
            <v>2026-03-24 00:00:00</v>
          </cell>
        </row>
        <row r="174">
          <cell r="A174" t="str">
            <v>11226</v>
          </cell>
          <cell r="B174" t="str">
            <v>2026-03-24 00:00:00</v>
          </cell>
        </row>
        <row r="175">
          <cell r="A175" t="str">
            <v>11326</v>
          </cell>
          <cell r="B175" t="str">
            <v>2026-03-26 00:00:00</v>
          </cell>
        </row>
        <row r="176">
          <cell r="A176" t="str">
            <v>11426</v>
          </cell>
          <cell r="B176" t="str">
            <v>2026-03-27 00:00:00</v>
          </cell>
        </row>
        <row r="177">
          <cell r="A177" t="str">
            <v>11526</v>
          </cell>
          <cell r="B177" t="str">
            <v>2026-03-27 00:00:00</v>
          </cell>
        </row>
        <row r="178">
          <cell r="A178" t="str">
            <v>11526</v>
          </cell>
          <cell r="B178" t="str">
            <v>2026-03-27 00:00:00</v>
          </cell>
        </row>
        <row r="179">
          <cell r="A179" t="str">
            <v>11526</v>
          </cell>
          <cell r="B179" t="str">
            <v>2026-03-27 00:00:00</v>
          </cell>
        </row>
        <row r="180">
          <cell r="A180" t="str">
            <v>11526</v>
          </cell>
          <cell r="B180" t="str">
            <v>2026-03-27 00:00:00</v>
          </cell>
        </row>
        <row r="181">
          <cell r="A181" t="str">
            <v>11526</v>
          </cell>
          <cell r="B181" t="str">
            <v>2026-03-27 00:00:00</v>
          </cell>
        </row>
        <row r="182">
          <cell r="A182" t="str">
            <v>11526</v>
          </cell>
          <cell r="B182" t="str">
            <v>2026-03-27 00:00:00</v>
          </cell>
        </row>
        <row r="183">
          <cell r="A183" t="str">
            <v>11526</v>
          </cell>
          <cell r="B183" t="str">
            <v>2026-03-27 00:00:00</v>
          </cell>
        </row>
        <row r="184">
          <cell r="A184" t="str">
            <v>11526</v>
          </cell>
          <cell r="B184" t="str">
            <v>2026-03-27 00:00:00</v>
          </cell>
        </row>
        <row r="185">
          <cell r="A185" t="str">
            <v>11526</v>
          </cell>
          <cell r="B185" t="str">
            <v>2026-03-27 00:00:00</v>
          </cell>
        </row>
        <row r="186">
          <cell r="A186" t="str">
            <v>11526</v>
          </cell>
          <cell r="B186" t="str">
            <v>2026-03-27 00:00:00</v>
          </cell>
        </row>
        <row r="187">
          <cell r="A187" t="str">
            <v>11626</v>
          </cell>
          <cell r="B187" t="str">
            <v>2026-04-06 00:00:00</v>
          </cell>
        </row>
        <row r="188">
          <cell r="A188" t="str">
            <v>11726</v>
          </cell>
          <cell r="B188" t="str">
            <v>2026-04-06 00:00:00</v>
          </cell>
        </row>
        <row r="189">
          <cell r="A189" t="str">
            <v>11726</v>
          </cell>
          <cell r="B189" t="str">
            <v>2026-04-06 00:00:00</v>
          </cell>
        </row>
        <row r="190">
          <cell r="A190" t="str">
            <v>11826</v>
          </cell>
          <cell r="B190" t="str">
            <v>2026-04-09 00:00:00</v>
          </cell>
        </row>
        <row r="191">
          <cell r="A191" t="str">
            <v>11826</v>
          </cell>
          <cell r="B191" t="str">
            <v>2026-04-09 00:00:00</v>
          </cell>
        </row>
        <row r="192">
          <cell r="A192" t="str">
            <v>11826</v>
          </cell>
          <cell r="B192" t="str">
            <v>2026-04-09 00:00:00</v>
          </cell>
        </row>
        <row r="193">
          <cell r="A193" t="str">
            <v>11926</v>
          </cell>
          <cell r="B193" t="str">
            <v>2026-04-09 00:00:00</v>
          </cell>
        </row>
        <row r="194">
          <cell r="A194" t="str">
            <v>12026</v>
          </cell>
          <cell r="B194" t="str">
            <v>2026-04-09 00:00:00</v>
          </cell>
        </row>
        <row r="195">
          <cell r="A195" t="str">
            <v>12126</v>
          </cell>
          <cell r="B195" t="str">
            <v>2026-04-09 00:00:00</v>
          </cell>
        </row>
        <row r="196">
          <cell r="A196" t="str">
            <v>12226</v>
          </cell>
          <cell r="B196" t="str">
            <v>2026-04-16 00:00:00</v>
          </cell>
        </row>
        <row r="197">
          <cell r="A197" t="str">
            <v>12326</v>
          </cell>
          <cell r="B197" t="str">
            <v>2026-04-16 00:00:00</v>
          </cell>
        </row>
        <row r="198">
          <cell r="A198" t="str">
            <v>12426</v>
          </cell>
          <cell r="B198" t="str">
            <v>2026-04-16 00:00:00</v>
          </cell>
        </row>
        <row r="199">
          <cell r="A199" t="str">
            <v>12426</v>
          </cell>
          <cell r="B199" t="str">
            <v>2026-04-16 00:00:00</v>
          </cell>
        </row>
        <row r="200">
          <cell r="A200" t="str">
            <v>12526</v>
          </cell>
          <cell r="B200" t="str">
            <v>2026-04-21 00:00:00</v>
          </cell>
        </row>
        <row r="201">
          <cell r="A201" t="str">
            <v>12626</v>
          </cell>
          <cell r="B201" t="str">
            <v>2026-04-23 00:00:00</v>
          </cell>
        </row>
        <row r="202">
          <cell r="A202" t="str">
            <v>12726</v>
          </cell>
          <cell r="B202" t="str">
            <v>2026-04-29 00:00:00</v>
          </cell>
        </row>
        <row r="203">
          <cell r="A203" t="str">
            <v>12826</v>
          </cell>
          <cell r="B203" t="str">
            <v>2026-04-30 00:00:00</v>
          </cell>
        </row>
        <row r="204">
          <cell r="A204" t="str">
            <v>12926</v>
          </cell>
          <cell r="B204" t="str">
            <v>2026-05-06 00:00:00</v>
          </cell>
        </row>
        <row r="205">
          <cell r="A205" t="str">
            <v>13026</v>
          </cell>
          <cell r="B205" t="str">
            <v>2026-05-12 00:00:00</v>
          </cell>
        </row>
        <row r="206">
          <cell r="A206" t="str">
            <v>13126</v>
          </cell>
          <cell r="B206" t="str">
            <v>2026-05-13 00:00:00</v>
          </cell>
        </row>
        <row r="207">
          <cell r="A207" t="str">
            <v>13226</v>
          </cell>
          <cell r="B207" t="str">
            <v>2026-05-14 00:00:00</v>
          </cell>
        </row>
        <row r="208">
          <cell r="A208" t="str">
            <v>13326</v>
          </cell>
          <cell r="B208" t="str">
            <v>2026-05-15 00:00:00</v>
          </cell>
        </row>
        <row r="209">
          <cell r="A209" t="str">
            <v>13326</v>
          </cell>
          <cell r="B209" t="str">
            <v>2026-05-15 00:00:00</v>
          </cell>
        </row>
        <row r="210">
          <cell r="A210" t="str">
            <v>13326</v>
          </cell>
          <cell r="B210" t="str">
            <v>2026-05-15 00:00:00</v>
          </cell>
        </row>
        <row r="211">
          <cell r="A211" t="str">
            <v>13426</v>
          </cell>
          <cell r="B211" t="str">
            <v>2026-05-20 00:00:00</v>
          </cell>
        </row>
        <row r="212">
          <cell r="A212" t="str">
            <v>13526</v>
          </cell>
          <cell r="B212" t="str">
            <v>2026-05-20 00:00:00</v>
          </cell>
        </row>
        <row r="213">
          <cell r="A213" t="str">
            <v>13626</v>
          </cell>
          <cell r="B213" t="str">
            <v>2026-05-22 00:00:00</v>
          </cell>
        </row>
        <row r="214">
          <cell r="A214" t="str">
            <v>13726</v>
          </cell>
          <cell r="B214" t="str">
            <v>2026-05-26 00:00:00</v>
          </cell>
        </row>
        <row r="215">
          <cell r="A215" t="str">
            <v>13826</v>
          </cell>
          <cell r="B215" t="str">
            <v>2026-05-26 00:00:00</v>
          </cell>
        </row>
        <row r="216">
          <cell r="A216" t="str">
            <v>13826</v>
          </cell>
          <cell r="B216" t="str">
            <v>2026-05-26 00:00:00</v>
          </cell>
        </row>
        <row r="217">
          <cell r="A217" t="str">
            <v>13826</v>
          </cell>
          <cell r="B217" t="str">
            <v>2026-05-26 00:00:00</v>
          </cell>
        </row>
        <row r="218">
          <cell r="A218" t="str">
            <v>13826</v>
          </cell>
          <cell r="B218" t="str">
            <v>2026-05-26 00:00:00</v>
          </cell>
        </row>
        <row r="219">
          <cell r="A219" t="str">
            <v>13826</v>
          </cell>
          <cell r="B219" t="str">
            <v>2026-05-26 00:00:00</v>
          </cell>
        </row>
        <row r="220">
          <cell r="A220" t="str">
            <v>13826</v>
          </cell>
          <cell r="B220" t="str">
            <v>2026-05-26 00:00:00</v>
          </cell>
        </row>
        <row r="221">
          <cell r="A221" t="str">
            <v>13826</v>
          </cell>
          <cell r="B221" t="str">
            <v>2026-05-26 00:00:00</v>
          </cell>
        </row>
        <row r="222">
          <cell r="A222" t="str">
            <v>13826</v>
          </cell>
          <cell r="B222" t="str">
            <v>2026-05-26 00:00:00</v>
          </cell>
        </row>
        <row r="223">
          <cell r="A223" t="str">
            <v>13826</v>
          </cell>
          <cell r="B223" t="str">
            <v>2026-05-26 00:00:00</v>
          </cell>
        </row>
        <row r="224">
          <cell r="A224" t="str">
            <v>13826</v>
          </cell>
          <cell r="B224" t="str">
            <v>2026-05-26 00:00:00</v>
          </cell>
        </row>
        <row r="225">
          <cell r="A225" t="str">
            <v>13926</v>
          </cell>
          <cell r="B225" t="str">
            <v>2026-05-27 00:00:00</v>
          </cell>
        </row>
        <row r="226">
          <cell r="A226" t="str">
            <v>14026</v>
          </cell>
          <cell r="B226" t="str">
            <v>2026-05-28 00:00:00</v>
          </cell>
        </row>
        <row r="227">
          <cell r="A227" t="str">
            <v>14126</v>
          </cell>
          <cell r="B227" t="str">
            <v>2026-06-01 00:00:00</v>
          </cell>
        </row>
        <row r="228">
          <cell r="A228" t="str">
            <v>14126</v>
          </cell>
          <cell r="B228" t="str">
            <v>2026-06-01 00:00:00</v>
          </cell>
        </row>
        <row r="229">
          <cell r="A229" t="str">
            <v>14126</v>
          </cell>
          <cell r="B229" t="str">
            <v>2026-06-01 00:00:00</v>
          </cell>
        </row>
        <row r="230">
          <cell r="A230" t="str">
            <v>14226</v>
          </cell>
          <cell r="B230" t="str">
            <v>2026-06-03 00:00:00</v>
          </cell>
        </row>
        <row r="231">
          <cell r="A231" t="str">
            <v>14326</v>
          </cell>
          <cell r="B231" t="str">
            <v>2026-06-03 00:00:00</v>
          </cell>
        </row>
        <row r="232">
          <cell r="A232" t="str">
            <v>14426</v>
          </cell>
          <cell r="B232" t="str">
            <v>2026-06-09 00:00:00</v>
          </cell>
        </row>
        <row r="233">
          <cell r="A233" t="str">
            <v>14526</v>
          </cell>
          <cell r="B233" t="str">
            <v>2026-06-09 00:00:00</v>
          </cell>
        </row>
        <row r="234">
          <cell r="A234" t="str">
            <v>14626</v>
          </cell>
          <cell r="B234" t="str">
            <v>2026-06-09 00:00:00</v>
          </cell>
        </row>
        <row r="235">
          <cell r="A235" t="str">
            <v>14726</v>
          </cell>
          <cell r="B235" t="str">
            <v>2026-06-10 00:00:00</v>
          </cell>
        </row>
        <row r="236">
          <cell r="A236" t="str">
            <v>14826</v>
          </cell>
          <cell r="B236" t="str">
            <v>2026-06-11 00:00:00</v>
          </cell>
        </row>
        <row r="237">
          <cell r="A237" t="str">
            <v>14826</v>
          </cell>
          <cell r="B237" t="str">
            <v>2026-06-11 00:00:00</v>
          </cell>
        </row>
        <row r="238">
          <cell r="A238" t="str">
            <v>14926</v>
          </cell>
          <cell r="B238" t="str">
            <v>2026-06-11 00:00:00</v>
          </cell>
        </row>
        <row r="239">
          <cell r="A239" t="str">
            <v>15026</v>
          </cell>
          <cell r="B239" t="str">
            <v>2026-06-16 00:00:00</v>
          </cell>
        </row>
        <row r="240">
          <cell r="A240" t="str">
            <v>15026</v>
          </cell>
          <cell r="B240" t="str">
            <v>2026-06-16 00:00:00</v>
          </cell>
        </row>
        <row r="241">
          <cell r="A241" t="str">
            <v>15026</v>
          </cell>
          <cell r="B241" t="str">
            <v>2026-06-16 00:00:00</v>
          </cell>
        </row>
        <row r="242">
          <cell r="A242" t="str">
            <v>15026</v>
          </cell>
          <cell r="B242" t="str">
            <v>2026-06-16 00:00:00</v>
          </cell>
        </row>
        <row r="243">
          <cell r="A243" t="str">
            <v>15126</v>
          </cell>
          <cell r="B243" t="str">
            <v>2026-06-17 00:00:00</v>
          </cell>
        </row>
        <row r="244">
          <cell r="A244" t="str">
            <v>15226</v>
          </cell>
          <cell r="B244" t="str">
            <v>2026-06-18 00:00:00</v>
          </cell>
        </row>
        <row r="245">
          <cell r="A245" t="str">
            <v>15326</v>
          </cell>
          <cell r="B245" t="str">
            <v>2026-06-23 00:00:00</v>
          </cell>
        </row>
        <row r="246">
          <cell r="A246" t="str">
            <v>15426</v>
          </cell>
          <cell r="B246" t="str">
            <v>2026-06-23 00:00:00</v>
          </cell>
        </row>
        <row r="247">
          <cell r="A247" t="str">
            <v>15526</v>
          </cell>
          <cell r="B247" t="str">
            <v>2026-06-26 00:00:00</v>
          </cell>
        </row>
        <row r="248">
          <cell r="A248" t="str">
            <v>15626</v>
          </cell>
          <cell r="B248" t="str">
            <v>2026-06-26 00:00:00</v>
          </cell>
        </row>
        <row r="249">
          <cell r="A249" t="str">
            <v>15726</v>
          </cell>
          <cell r="B249" t="str">
            <v>2026-06-30 00:00:00</v>
          </cell>
        </row>
        <row r="250">
          <cell r="A250" t="str">
            <v>15826</v>
          </cell>
          <cell r="B250" t="str">
            <v>2026-07-07 00:00:00</v>
          </cell>
        </row>
        <row r="251">
          <cell r="A251" t="str">
            <v>15826</v>
          </cell>
          <cell r="B251" t="str">
            <v>2026-07-07 00:00:00</v>
          </cell>
        </row>
        <row r="252">
          <cell r="A252" t="str">
            <v>15926</v>
          </cell>
          <cell r="B252" t="str">
            <v>2026-07-09 00:00:00</v>
          </cell>
        </row>
        <row r="253">
          <cell r="A253" t="str">
            <v>16026</v>
          </cell>
          <cell r="B253" t="str">
            <v>2026-07-15 00:00:00</v>
          </cell>
        </row>
        <row r="254">
          <cell r="A254" t="str">
            <v>16126</v>
          </cell>
          <cell r="B254" t="str">
            <v>2026-07-16 00:00:00</v>
          </cell>
        </row>
        <row r="255">
          <cell r="A255" t="str">
            <v>16226</v>
          </cell>
          <cell r="B255" t="str">
            <v>2026-07-16 00:00:00</v>
          </cell>
        </row>
        <row r="256">
          <cell r="A256" t="str">
            <v>16326</v>
          </cell>
          <cell r="B256" t="str">
            <v>2026-07-22 00:00:00</v>
          </cell>
        </row>
        <row r="257">
          <cell r="A257" t="str">
            <v>16426</v>
          </cell>
          <cell r="B257" t="str">
            <v>2026-07-22 00:00:00</v>
          </cell>
        </row>
        <row r="258">
          <cell r="A258" t="str">
            <v>16526</v>
          </cell>
          <cell r="B258" t="str">
            <v>2026-07-23 00:00:00</v>
          </cell>
        </row>
        <row r="259">
          <cell r="A259" t="str">
            <v>16626</v>
          </cell>
          <cell r="B259" t="str">
            <v>2026-07-24 00:00:00</v>
          </cell>
        </row>
        <row r="260">
          <cell r="A260" t="str">
            <v>16726</v>
          </cell>
          <cell r="B260" t="str">
            <v>2026-07-24 00:00:00</v>
          </cell>
        </row>
        <row r="261">
          <cell r="A261" t="str">
            <v>16826</v>
          </cell>
          <cell r="B261" t="str">
            <v>2026-07-28 00:00:00</v>
          </cell>
        </row>
        <row r="262">
          <cell r="A262" t="str">
            <v>16826</v>
          </cell>
          <cell r="B262" t="str">
            <v>2026-07-28 00:00:00</v>
          </cell>
        </row>
        <row r="263">
          <cell r="A263" t="str">
            <v>16826</v>
          </cell>
          <cell r="B263" t="str">
            <v>2026-07-28 00:00:00</v>
          </cell>
        </row>
        <row r="264">
          <cell r="A264" t="str">
            <v>16926</v>
          </cell>
          <cell r="B264" t="str">
            <v>2026-07-29 00:00:00</v>
          </cell>
        </row>
        <row r="265">
          <cell r="A265" t="str">
            <v>16926</v>
          </cell>
          <cell r="B265" t="str">
            <v>2026-07-29 00:00:00</v>
          </cell>
        </row>
        <row r="266">
          <cell r="A266" t="str">
            <v>16926</v>
          </cell>
          <cell r="B266" t="str">
            <v>2026-07-29 00:00:00</v>
          </cell>
        </row>
        <row r="267">
          <cell r="A267" t="str">
            <v>16926</v>
          </cell>
          <cell r="B267" t="str">
            <v>2026-07-29 00:00:00</v>
          </cell>
        </row>
        <row r="268">
          <cell r="A268" t="str">
            <v>16926</v>
          </cell>
          <cell r="B268" t="str">
            <v>2026-07-29 00:00:00</v>
          </cell>
        </row>
        <row r="269">
          <cell r="A269" t="str">
            <v>16926</v>
          </cell>
          <cell r="B269" t="str">
            <v>2026-07-29 00:00:00</v>
          </cell>
        </row>
        <row r="270">
          <cell r="A270" t="str">
            <v>16926</v>
          </cell>
          <cell r="B270" t="str">
            <v>2026-07-29 00:00:00</v>
          </cell>
        </row>
        <row r="271">
          <cell r="A271" t="str">
            <v>16926</v>
          </cell>
          <cell r="B271" t="str">
            <v>2026-07-29 00:00:00</v>
          </cell>
        </row>
        <row r="272">
          <cell r="A272" t="str">
            <v>16926</v>
          </cell>
          <cell r="B272" t="str">
            <v>2026-07-29 00:00:00</v>
          </cell>
        </row>
        <row r="273">
          <cell r="A273" t="str">
            <v>16926</v>
          </cell>
          <cell r="B273" t="str">
            <v>2026-07-29 00:00:00</v>
          </cell>
        </row>
        <row r="274">
          <cell r="A274" t="str">
            <v>16926</v>
          </cell>
          <cell r="B274" t="str">
            <v>2026-07-29 00:00:00</v>
          </cell>
        </row>
        <row r="275">
          <cell r="A275" t="str">
            <v>16926</v>
          </cell>
          <cell r="B275" t="str">
            <v>2026-07-29 00:00:00</v>
          </cell>
        </row>
        <row r="276">
          <cell r="A276" t="str">
            <v>17026</v>
          </cell>
          <cell r="B276" t="str">
            <v>2026-07-29 00:00:00</v>
          </cell>
        </row>
        <row r="277">
          <cell r="A277" t="str">
            <v>17126</v>
          </cell>
          <cell r="B277" t="str">
            <v>2026-07-30 00:00:00</v>
          </cell>
        </row>
        <row r="278">
          <cell r="A278" t="str">
            <v>17226</v>
          </cell>
          <cell r="B278" t="str">
            <v>2026-07-30 00:00:00</v>
          </cell>
        </row>
        <row r="279">
          <cell r="A279" t="str">
            <v>17326</v>
          </cell>
          <cell r="B279" t="str">
            <v>2026-07-30 00:00:00</v>
          </cell>
        </row>
        <row r="280">
          <cell r="A280" t="str">
            <v>17426</v>
          </cell>
          <cell r="B280" t="str">
            <v>2026-08-03 00:00:00</v>
          </cell>
        </row>
        <row r="281">
          <cell r="A281" t="str">
            <v>17526</v>
          </cell>
          <cell r="B281" t="str">
            <v>2026-08-04 00:00:00</v>
          </cell>
        </row>
        <row r="282">
          <cell r="A282" t="str">
            <v>17526</v>
          </cell>
          <cell r="B282" t="str">
            <v>2026-08-04 00:00:00</v>
          </cell>
        </row>
        <row r="283">
          <cell r="A283" t="str">
            <v>17626</v>
          </cell>
          <cell r="B283" t="str">
            <v>2026-08-04 00:00:00</v>
          </cell>
        </row>
        <row r="284">
          <cell r="A284" t="str">
            <v>17726</v>
          </cell>
          <cell r="B284" t="str">
            <v>2026-08-06 00:00:00</v>
          </cell>
        </row>
        <row r="285">
          <cell r="A285" t="str">
            <v>17826</v>
          </cell>
          <cell r="B285" t="str">
            <v>2026-08-18 00:00:00</v>
          </cell>
        </row>
        <row r="286">
          <cell r="A286" t="str">
            <v>17926</v>
          </cell>
          <cell r="B286" t="str">
            <v>2026-08-18 00:00:00</v>
          </cell>
        </row>
        <row r="287">
          <cell r="A287" t="str">
            <v>18026</v>
          </cell>
          <cell r="B287" t="str">
            <v>2026-08-19 00:00:00</v>
          </cell>
        </row>
        <row r="288">
          <cell r="A288" t="str">
            <v>18126</v>
          </cell>
          <cell r="B288" t="str">
            <v>2026-08-24 00:00:00</v>
          </cell>
        </row>
        <row r="289">
          <cell r="A289" t="str">
            <v>18226</v>
          </cell>
          <cell r="B289" t="str">
            <v>2026-08-27 00:00:00</v>
          </cell>
        </row>
        <row r="290">
          <cell r="A290" t="str">
            <v>18326</v>
          </cell>
          <cell r="B290" t="str">
            <v>2026-08-27 00:00:00</v>
          </cell>
        </row>
        <row r="291">
          <cell r="A291" t="str">
            <v>18426</v>
          </cell>
          <cell r="B291" t="str">
            <v>2026-09-08 00:00:00</v>
          </cell>
        </row>
        <row r="292">
          <cell r="A292" t="str">
            <v>18426</v>
          </cell>
          <cell r="B292" t="str">
            <v>2026-09-08 00:00:00</v>
          </cell>
        </row>
        <row r="293">
          <cell r="A293" t="str">
            <v>18426</v>
          </cell>
          <cell r="B293" t="str">
            <v>2026-09-08 00:00:00</v>
          </cell>
        </row>
        <row r="294">
          <cell r="A294" t="str">
            <v>18426</v>
          </cell>
          <cell r="B294" t="str">
            <v>2026-09-08 00:00:00</v>
          </cell>
        </row>
        <row r="295">
          <cell r="A295" t="str">
            <v>18526</v>
          </cell>
          <cell r="B295" t="str">
            <v>2026-09-08 00:00:00</v>
          </cell>
        </row>
        <row r="296">
          <cell r="A296" t="str">
            <v>18626</v>
          </cell>
          <cell r="B296" t="str">
            <v>2026-09-09 00:00:00</v>
          </cell>
        </row>
        <row r="297">
          <cell r="A297" t="str">
            <v>18726</v>
          </cell>
          <cell r="B297" t="str">
            <v>2026-09-14 00:00:00</v>
          </cell>
        </row>
        <row r="298">
          <cell r="A298" t="str">
            <v>18826</v>
          </cell>
          <cell r="B298" t="str">
            <v>2026-09-14 00:00:00</v>
          </cell>
        </row>
        <row r="299">
          <cell r="A299" t="str">
            <v>18926</v>
          </cell>
          <cell r="B299" t="str">
            <v>2026-09-14 00:00:00</v>
          </cell>
        </row>
        <row r="300">
          <cell r="A300" t="str">
            <v>19026</v>
          </cell>
          <cell r="B300" t="str">
            <v>2026-09-14 00:00:00</v>
          </cell>
        </row>
        <row r="301">
          <cell r="A301" t="str">
            <v>19126</v>
          </cell>
          <cell r="B301" t="str">
            <v>2026-09-14 00:00:00</v>
          </cell>
        </row>
        <row r="302">
          <cell r="A302" t="str">
            <v>19226</v>
          </cell>
          <cell r="B302" t="str">
            <v>2026-09-17 00:00:00</v>
          </cell>
        </row>
        <row r="303">
          <cell r="A303" t="str">
            <v>19326</v>
          </cell>
          <cell r="B303" t="str">
            <v>2026-09-21 00:00:00</v>
          </cell>
        </row>
        <row r="304">
          <cell r="A304" t="str">
            <v>19426</v>
          </cell>
          <cell r="B304" t="str">
            <v>2026-09-21 00:00:00</v>
          </cell>
        </row>
        <row r="305">
          <cell r="A305" t="str">
            <v>19526</v>
          </cell>
          <cell r="B305" t="str">
            <v>2026-09-22 00:00:00</v>
          </cell>
        </row>
        <row r="306">
          <cell r="A306" t="str">
            <v>19626</v>
          </cell>
          <cell r="B306" t="str">
            <v>2026-09-22 00:00:00</v>
          </cell>
        </row>
        <row r="307">
          <cell r="A307" t="str">
            <v>19726</v>
          </cell>
          <cell r="B307" t="str">
            <v>2026-09-28 00:00:00</v>
          </cell>
        </row>
        <row r="308">
          <cell r="A308" t="str">
            <v>19726</v>
          </cell>
          <cell r="B308" t="str">
            <v>2026-09-28 00:00:00</v>
          </cell>
        </row>
        <row r="309">
          <cell r="A309" t="str">
            <v>19726</v>
          </cell>
          <cell r="B309" t="str">
            <v>2026-09-28 00:00:00</v>
          </cell>
        </row>
        <row r="310">
          <cell r="A310" t="str">
            <v>19726</v>
          </cell>
          <cell r="B310" t="str">
            <v>2026-09-28 00:00:00</v>
          </cell>
        </row>
        <row r="311">
          <cell r="A311" t="str">
            <v>19726</v>
          </cell>
          <cell r="B311" t="str">
            <v>2026-09-28 00:00:00</v>
          </cell>
        </row>
        <row r="312">
          <cell r="A312" t="str">
            <v>19726</v>
          </cell>
          <cell r="B312" t="str">
            <v>2026-09-28 00:00:00</v>
          </cell>
        </row>
        <row r="313">
          <cell r="A313" t="str">
            <v>19726</v>
          </cell>
          <cell r="B313" t="str">
            <v>2026-09-28 00:00:00</v>
          </cell>
        </row>
        <row r="314">
          <cell r="A314" t="str">
            <v>19726</v>
          </cell>
          <cell r="B314" t="str">
            <v>2026-09-28 00:00:00</v>
          </cell>
        </row>
        <row r="315">
          <cell r="A315" t="str">
            <v>19726</v>
          </cell>
          <cell r="B315" t="str">
            <v>2026-09-28 00:00:00</v>
          </cell>
        </row>
        <row r="316">
          <cell r="A316" t="str">
            <v>19726</v>
          </cell>
          <cell r="B316" t="str">
            <v>2026-09-28 00:00:00</v>
          </cell>
        </row>
        <row r="317">
          <cell r="A317" t="str">
            <v>19726</v>
          </cell>
          <cell r="B317" t="str">
            <v>2026-09-28 00:00:00</v>
          </cell>
        </row>
        <row r="318">
          <cell r="A318" t="str">
            <v>19726</v>
          </cell>
          <cell r="B318" t="str">
            <v>2026-09-28 00:00:00</v>
          </cell>
        </row>
        <row r="319">
          <cell r="A319" t="str">
            <v>19726</v>
          </cell>
          <cell r="B319" t="str">
            <v>2026-09-28 00:00:00</v>
          </cell>
        </row>
        <row r="320">
          <cell r="A320" t="str">
            <v>19826</v>
          </cell>
          <cell r="B320" t="str">
            <v>2026-10-01 00:00:00</v>
          </cell>
        </row>
        <row r="321">
          <cell r="A321" t="str">
            <v>19926</v>
          </cell>
          <cell r="B321" t="str">
            <v>2026-10-01 00:00:00</v>
          </cell>
        </row>
        <row r="322">
          <cell r="A322" t="str">
            <v>20026</v>
          </cell>
          <cell r="B322" t="str">
            <v>2026-10-02 00:00:00</v>
          </cell>
        </row>
      </sheetData>
      <sheetData sheetId="6">
        <row r="1">
          <cell r="A1" t="str">
            <v xml:space="preserve">CONTRATO No (CON AÑO). </v>
          </cell>
          <cell r="B1" t="str">
            <v>NOMBRE DEL CONTRATISTA</v>
          </cell>
          <cell r="C1" t="str">
            <v>No. DEL OTROSI O DE LA MODIFICACIÓN</v>
          </cell>
          <cell r="D1" t="str">
            <v>RAZÓN DE LA ELABORACION DEL OTROSI</v>
          </cell>
          <cell r="E1" t="str">
            <v>FECHA DE SUSCRIPCIÓN DEL OTRO SI</v>
          </cell>
          <cell r="F1" t="str">
            <v>ADICIÓN / REDUCCIÓN</v>
          </cell>
          <cell r="G1" t="str">
            <v>FECHA DE PRORROGA (HASTA)/FEHA DE TERMINACIÓN ANTICIPADA</v>
          </cell>
          <cell r="H1" t="str">
            <v>FECHA DE SUPENSIÓN (DESDE)</v>
          </cell>
          <cell r="I1" t="str">
            <v>FECHA DE SUPENSIÓN (HASTA)</v>
          </cell>
          <cell r="J1" t="str">
            <v>ACTUALIZACIÓN DE GARANTÍAS (SI/NO)</v>
          </cell>
          <cell r="K1" t="str">
            <v>ABOGADO</v>
          </cell>
          <cell r="L1" t="str">
            <v>OBSERVACIONES</v>
          </cell>
        </row>
        <row r="2">
          <cell r="A2" t="str">
            <v>CONTRATO 105 DE 2025 - OC 154591</v>
          </cell>
          <cell r="B2" t="str">
            <v xml:space="preserve">COBRANZA NACIONAL DE CRÉDITOS SAS </v>
          </cell>
          <cell r="C2">
            <v>1</v>
          </cell>
          <cell r="D2" t="str">
            <v xml:space="preserve">ADICIÓN (IPC y ajuste SMLMV 2026 por $80,392,536,49) </v>
          </cell>
          <cell r="E2">
            <v>46072</v>
          </cell>
          <cell r="F2">
            <v>80392536.489999995</v>
          </cell>
          <cell r="G2" t="str">
            <v xml:space="preserve">N/A  </v>
          </cell>
          <cell r="H2" t="str">
            <v xml:space="preserve">N/A </v>
          </cell>
          <cell r="I2" t="str">
            <v xml:space="preserve">N/A </v>
          </cell>
          <cell r="J2" t="str">
            <v>SÍ</v>
          </cell>
          <cell r="K2" t="str">
            <v xml:space="preserve">JOHAN HERRERA </v>
          </cell>
        </row>
        <row r="3">
          <cell r="A3" t="str">
            <v>CONTRATO 95 DE 2025</v>
          </cell>
          <cell r="B3" t="str">
            <v>AXA COLPATRIA</v>
          </cell>
          <cell r="C3">
            <v>1</v>
          </cell>
          <cell r="D3" t="str">
            <v>ADICIÓN</v>
          </cell>
          <cell r="E3">
            <v>46121</v>
          </cell>
          <cell r="F3">
            <v>5427536</v>
          </cell>
          <cell r="G3" t="str">
            <v xml:space="preserve">N/A  </v>
          </cell>
          <cell r="H3" t="str">
            <v xml:space="preserve">N/A  </v>
          </cell>
          <cell r="I3" t="str">
            <v xml:space="preserve">N/A  </v>
          </cell>
          <cell r="J3" t="str">
            <v xml:space="preserve">N/A  </v>
          </cell>
          <cell r="K3" t="str">
            <v>JENNY ROJAS</v>
          </cell>
        </row>
        <row r="4">
          <cell r="A4" t="str">
            <v>CONTRATO 15 DE 2026</v>
          </cell>
          <cell r="B4" t="str">
            <v>MONICA MEJÍA JIMÉNEZ</v>
          </cell>
          <cell r="C4">
            <v>1</v>
          </cell>
          <cell r="D4" t="str">
            <v>CESIÓN DEL CONTRATO A LADY GIOVANNA TORRES SÁNCHEZ</v>
          </cell>
          <cell r="E4">
            <v>46142</v>
          </cell>
          <cell r="F4" t="str">
            <v xml:space="preserve">N/A  </v>
          </cell>
          <cell r="G4" t="str">
            <v xml:space="preserve">N/A  </v>
          </cell>
          <cell r="H4" t="str">
            <v xml:space="preserve">N/A  </v>
          </cell>
          <cell r="I4" t="str">
            <v xml:space="preserve">N/A  </v>
          </cell>
          <cell r="J4" t="str">
            <v xml:space="preserve">N/A  </v>
          </cell>
          <cell r="K4" t="str">
            <v>JENNY ROJAS</v>
          </cell>
          <cell r="L4" t="str">
            <v>EL CONTRATISTA CEDENTE - MÓNICA MEJÍA JIMÉNEZ, identificada con cédula de ciudadanía No. 38.879.712 cede el Contrato de Prestación de Servicios No. 15 de 2026, AL CONTRATISTA CESIONARIO - LADY GIOVANNA TORRES SÁNCHEZ, identificada con cédula de ciudadanía No. 37.394.973</v>
          </cell>
        </row>
        <row r="5">
          <cell r="A5" t="str">
            <v>CONTRATO 106 DE 2025 - OC 154645</v>
          </cell>
          <cell r="B5" t="str">
            <v>Consorcio @ C&amp;D</v>
          </cell>
          <cell r="D5" t="str">
            <v>ADICIÓN Y PRORROGA</v>
          </cell>
          <cell r="E5">
            <v>46167</v>
          </cell>
          <cell r="F5">
            <v>61081144.759999998</v>
          </cell>
          <cell r="G5">
            <v>46280</v>
          </cell>
          <cell r="H5" t="str">
            <v xml:space="preserve">N/A  </v>
          </cell>
          <cell r="I5" t="str">
            <v xml:space="preserve">N/A  </v>
          </cell>
          <cell r="J5" t="str">
            <v>SI</v>
          </cell>
          <cell r="K5" t="str">
            <v>JENNY ROJAS</v>
          </cell>
        </row>
        <row r="6">
          <cell r="A6" t="str">
            <v>CONTRATO 112 DE 2025</v>
          </cell>
          <cell r="B6" t="str">
            <v>INGFRACOL</v>
          </cell>
          <cell r="C6">
            <v>1</v>
          </cell>
          <cell r="D6" t="str">
            <v>ADICIÓN Y PRORROGA</v>
          </cell>
          <cell r="E6">
            <v>46176</v>
          </cell>
          <cell r="F6">
            <v>15141080</v>
          </cell>
          <cell r="G6">
            <v>46326</v>
          </cell>
          <cell r="H6" t="str">
            <v xml:space="preserve">N/A  </v>
          </cell>
          <cell r="I6" t="str">
            <v xml:space="preserve">N/A  </v>
          </cell>
          <cell r="J6" t="str">
            <v>SI</v>
          </cell>
          <cell r="K6" t="str">
            <v xml:space="preserve">JOHAN HERRERA </v>
          </cell>
          <cell r="L6" t="str">
            <v xml:space="preserve">27 de junio de  2029 garantía aprobada. </v>
          </cell>
        </row>
        <row r="7">
          <cell r="A7" t="str">
            <v>CONTRATO 179 DE 2023</v>
          </cell>
          <cell r="B7" t="str">
            <v>WEXLER SAS</v>
          </cell>
          <cell r="C7">
            <v>1</v>
          </cell>
          <cell r="D7" t="str">
            <v>ADICIÓN Y PRORROGA</v>
          </cell>
          <cell r="E7">
            <v>46192</v>
          </cell>
          <cell r="F7">
            <v>272070252</v>
          </cell>
          <cell r="G7">
            <v>46326</v>
          </cell>
          <cell r="H7" t="str">
            <v>N/A</v>
          </cell>
          <cell r="I7" t="str">
            <v>N/A</v>
          </cell>
          <cell r="J7" t="str">
            <v>SI</v>
          </cell>
          <cell r="K7" t="str">
            <v>GREGORIO GUTIERREZ</v>
          </cell>
          <cell r="L7" t="str">
            <v>Aprobación garantia</v>
          </cell>
        </row>
        <row r="8">
          <cell r="A8" t="str">
            <v>CONTRATO 112 DE 2024</v>
          </cell>
          <cell r="B8" t="str">
            <v>IMPRENTA NACIONAL DE COLOMBIA</v>
          </cell>
          <cell r="C8">
            <v>2</v>
          </cell>
          <cell r="D8" t="str">
            <v>ADICIÓN Y PRORROGA</v>
          </cell>
          <cell r="E8">
            <v>46192</v>
          </cell>
          <cell r="F8">
            <v>7000000</v>
          </cell>
          <cell r="G8">
            <v>46356</v>
          </cell>
          <cell r="H8" t="str">
            <v>N/A</v>
          </cell>
          <cell r="I8" t="str">
            <v>N/A</v>
          </cell>
          <cell r="J8" t="str">
            <v>N/A</v>
          </cell>
          <cell r="K8" t="str">
            <v>LUCERO CASTELLANOS</v>
          </cell>
          <cell r="L8" t="str">
            <v>NINGUNA</v>
          </cell>
        </row>
        <row r="9">
          <cell r="A9" t="str">
            <v>CONTRATO 91 DE 2025</v>
          </cell>
          <cell r="B9" t="str">
            <v>TEIDOT SAS</v>
          </cell>
          <cell r="C9">
            <v>1</v>
          </cell>
          <cell r="D9" t="str">
            <v>ADICIÓN Y PRORROGA</v>
          </cell>
          <cell r="E9">
            <v>46211</v>
          </cell>
          <cell r="F9">
            <v>7507472</v>
          </cell>
          <cell r="G9">
            <v>46356</v>
          </cell>
          <cell r="H9" t="str">
            <v>N/A</v>
          </cell>
          <cell r="I9" t="str">
            <v>N/A</v>
          </cell>
          <cell r="J9" t="str">
            <v>SI</v>
          </cell>
          <cell r="K9" t="str">
            <v>GREGORIO GUTIERREZ</v>
          </cell>
          <cell r="L9" t="str">
            <v>Poliza aprobada</v>
          </cell>
        </row>
        <row r="10">
          <cell r="A10" t="str">
            <v>CONTRATO 116 DE 2024</v>
          </cell>
          <cell r="B10" t="str">
            <v xml:space="preserve">EMPRESA 472 </v>
          </cell>
          <cell r="C10">
            <v>2</v>
          </cell>
          <cell r="D10" t="str">
            <v>ADICIÓN Y PRORROGA</v>
          </cell>
          <cell r="E10">
            <v>46220</v>
          </cell>
          <cell r="F10">
            <v>68060720</v>
          </cell>
          <cell r="G10">
            <v>46356</v>
          </cell>
          <cell r="H10" t="str">
            <v>N/A</v>
          </cell>
          <cell r="I10" t="str">
            <v>N/A</v>
          </cell>
          <cell r="J10" t="str">
            <v>NO</v>
          </cell>
          <cell r="K10" t="str">
            <v xml:space="preserve">JOHAN HERRERA </v>
          </cell>
          <cell r="L10" t="str">
            <v>Contrato interadmnistrativo no requiere póliza</v>
          </cell>
        </row>
        <row r="11">
          <cell r="A11" t="str">
            <v xml:space="preserve">CONTRATO 105 DE 2025 - OC 154591 </v>
          </cell>
          <cell r="B11" t="str">
            <v xml:space="preserve"> COBRANZA NACIONAL DE CREDITOS S.A.S - CONALCREDITOS 
CONALCENTER BPO</v>
          </cell>
          <cell r="C11">
            <v>2</v>
          </cell>
          <cell r="D11" t="str">
            <v>ADICIÓN Y PRORROGA</v>
          </cell>
          <cell r="E11">
            <v>46226</v>
          </cell>
          <cell r="F11">
            <v>171151683.83000001</v>
          </cell>
          <cell r="G11">
            <v>46326</v>
          </cell>
          <cell r="H11" t="str">
            <v>N/A</v>
          </cell>
          <cell r="I11" t="str">
            <v>N/A</v>
          </cell>
          <cell r="J11" t="str">
            <v>SÍ</v>
          </cell>
          <cell r="K11" t="str">
            <v xml:space="preserve">JOHAN HERRERA </v>
          </cell>
          <cell r="L11" t="str">
            <v>Se aprobó póliza en físico, la cual fue remitida a la supervisora para su cargue en la TVEC</v>
          </cell>
        </row>
        <row r="12">
          <cell r="A12" t="str">
            <v>CONTRATO 106 DE 2025 - OC 154645</v>
          </cell>
          <cell r="B12" t="str">
            <v>Consorcio @ C&amp;D</v>
          </cell>
          <cell r="C12">
            <v>2</v>
          </cell>
          <cell r="D12" t="str">
            <v>ADICIÓN Y PRORROGA</v>
          </cell>
          <cell r="E12">
            <v>46253</v>
          </cell>
          <cell r="F12">
            <v>21380614.93</v>
          </cell>
          <cell r="G12">
            <v>46310</v>
          </cell>
          <cell r="H12" t="str">
            <v>N/A</v>
          </cell>
          <cell r="I12" t="str">
            <v>N/A</v>
          </cell>
          <cell r="J12" t="str">
            <v>SI</v>
          </cell>
          <cell r="K12" t="str">
            <v>JENNY ROJAS</v>
          </cell>
          <cell r="L12" t="str">
            <v>Se aprobó póliza en físico, la cual fue remitida a la supervisora para su cargue en la TVEC</v>
          </cell>
        </row>
        <row r="13">
          <cell r="A13" t="str">
            <v>CONTRATO 112 DE 2024</v>
          </cell>
          <cell r="B13" t="str">
            <v>IMPRENTA NACIONAL DE COLOMBIA</v>
          </cell>
          <cell r="C13">
            <v>3</v>
          </cell>
          <cell r="D13" t="str">
            <v>ADICIÓN</v>
          </cell>
          <cell r="E13">
            <v>46274</v>
          </cell>
          <cell r="F13">
            <v>7050000</v>
          </cell>
          <cell r="G13" t="str">
            <v xml:space="preserve">N/A  </v>
          </cell>
          <cell r="H13" t="str">
            <v>N/A</v>
          </cell>
          <cell r="I13" t="str">
            <v>N/A</v>
          </cell>
          <cell r="J13" t="str">
            <v xml:space="preserve">N/A  </v>
          </cell>
          <cell r="K13" t="str">
            <v>LUCERO CASTELLANOS</v>
          </cell>
          <cell r="L13" t="str">
            <v>OTROSI FIRMADO SECOP II</v>
          </cell>
        </row>
        <row r="14">
          <cell r="A14" t="str">
            <v>CONTRATO 26 DE 2026</v>
          </cell>
          <cell r="B14" t="str">
            <v>TACHYON SAS</v>
          </cell>
          <cell r="C14">
            <v>1</v>
          </cell>
          <cell r="D14" t="str">
            <v>ADICIÓN</v>
          </cell>
          <cell r="E14" t="str">
            <v>10/13/2026</v>
          </cell>
          <cell r="F14">
            <v>130337600</v>
          </cell>
          <cell r="G14" t="str">
            <v xml:space="preserve">N/A  </v>
          </cell>
          <cell r="H14" t="str">
            <v>N/A</v>
          </cell>
          <cell r="I14" t="str">
            <v>N/A</v>
          </cell>
          <cell r="J14" t="str">
            <v>N/A</v>
          </cell>
          <cell r="K14" t="str">
            <v>GREGORIO GUTIERREZ</v>
          </cell>
          <cell r="L14" t="str">
            <v>OTROSI FIRMADO SECOP II</v>
          </cell>
        </row>
        <row r="15">
          <cell r="A15" t="str">
            <v>CONTRATO 73 DE 2026</v>
          </cell>
          <cell r="B15" t="str">
            <v>BRANDSTRAT BIC S.A.S.</v>
          </cell>
          <cell r="C15">
            <v>1</v>
          </cell>
          <cell r="D15" t="str">
            <v>PRÓRROGA Y MODIFICACIÓN</v>
          </cell>
          <cell r="E15">
            <v>46309</v>
          </cell>
          <cell r="F15" t="str">
            <v xml:space="preserve">N/A  </v>
          </cell>
          <cell r="G15">
            <v>46387</v>
          </cell>
          <cell r="H15" t="str">
            <v>N/A</v>
          </cell>
          <cell r="I15" t="str">
            <v>N/A</v>
          </cell>
          <cell r="J15" t="str">
            <v>SI</v>
          </cell>
          <cell r="K15" t="str">
            <v>PAULA LOMBANA</v>
          </cell>
          <cell r="L15" t="str">
            <v>OTROSI FIRMADO SECOP II</v>
          </cell>
        </row>
        <row r="16">
          <cell r="A16" t="str">
            <v>CONTRATO 40 DE 2026</v>
          </cell>
          <cell r="B16" t="str">
            <v>IBOPE COLOMBIA S.A.S.</v>
          </cell>
          <cell r="C16">
            <v>1</v>
          </cell>
          <cell r="D16" t="str">
            <v>MODIFICACIÓN</v>
          </cell>
          <cell r="E16" t="str">
            <v>EN FIRMA</v>
          </cell>
          <cell r="F16" t="str">
            <v xml:space="preserve">N/A  </v>
          </cell>
          <cell r="G16" t="str">
            <v xml:space="preserve">N/A  </v>
          </cell>
          <cell r="H16" t="str">
            <v xml:space="preserve">N/A  </v>
          </cell>
          <cell r="I16" t="str">
            <v xml:space="preserve">N/A  </v>
          </cell>
          <cell r="J16" t="str">
            <v xml:space="preserve">N/A  </v>
          </cell>
          <cell r="K16" t="str">
            <v>PAULA LOMBANA</v>
          </cell>
          <cell r="L16" t="str">
            <v>OTROSÍ EN APORBACIÓN ZOILA</v>
          </cell>
        </row>
      </sheetData>
      <sheetData sheetId="7"/>
      <sheetData sheetId="8"/>
      <sheetData sheetId="9"/>
      <sheetData sheetId="10"/>
      <sheetData sheetId="11">
        <row r="27">
          <cell r="A27" t="str">
            <v>ALEJANDRA ARENAS</v>
          </cell>
          <cell r="B27">
            <v>1020749984</v>
          </cell>
        </row>
        <row r="28">
          <cell r="A28" t="str">
            <v>ANDRÉS CELEITA</v>
          </cell>
          <cell r="B28">
            <v>1010210143</v>
          </cell>
        </row>
        <row r="29">
          <cell r="A29" t="str">
            <v>CLAUDIA PALACIO</v>
          </cell>
          <cell r="B29">
            <v>30322559</v>
          </cell>
        </row>
        <row r="30">
          <cell r="A30" t="str">
            <v>CLAUDIA UMAÑA</v>
          </cell>
          <cell r="B30">
            <v>46675942</v>
          </cell>
        </row>
        <row r="31">
          <cell r="A31" t="str">
            <v>DIANA WILCHES</v>
          </cell>
          <cell r="B31">
            <v>40049758</v>
          </cell>
        </row>
        <row r="32">
          <cell r="A32" t="str">
            <v>DUGLAS LIZCANO</v>
          </cell>
          <cell r="B32">
            <v>88218491</v>
          </cell>
        </row>
        <row r="33">
          <cell r="A33" t="str">
            <v>EDUIN CRUZ</v>
          </cell>
          <cell r="B33">
            <v>11445828</v>
          </cell>
        </row>
        <row r="34">
          <cell r="A34" t="str">
            <v>EDWIN ALBERTO VARGAS</v>
          </cell>
          <cell r="B34">
            <v>7173927</v>
          </cell>
        </row>
        <row r="35">
          <cell r="A35" t="str">
            <v>FABIÁN TRUJILLO</v>
          </cell>
          <cell r="B35">
            <v>11240051</v>
          </cell>
        </row>
        <row r="36">
          <cell r="A36" t="str">
            <v>INGRID PICÓN</v>
          </cell>
          <cell r="B36">
            <v>60372503</v>
          </cell>
        </row>
        <row r="37">
          <cell r="A37" t="str">
            <v>JAVIER CRUZ</v>
          </cell>
          <cell r="B37">
            <v>79797975</v>
          </cell>
        </row>
        <row r="38">
          <cell r="A38" t="str">
            <v>JEISSON PULIDO</v>
          </cell>
          <cell r="B38">
            <v>1023914725</v>
          </cell>
        </row>
        <row r="39">
          <cell r="A39" t="str">
            <v>JENNIFER CUESTA</v>
          </cell>
          <cell r="B39">
            <v>52216719</v>
          </cell>
        </row>
        <row r="40">
          <cell r="A40" t="str">
            <v>JUAN PABLO HERNANDEZ</v>
          </cell>
          <cell r="B40">
            <v>80066028</v>
          </cell>
        </row>
        <row r="41">
          <cell r="A41" t="str">
            <v>LUIS JORGE GUEVARA</v>
          </cell>
          <cell r="B41">
            <v>80811747</v>
          </cell>
        </row>
        <row r="42">
          <cell r="A42" t="str">
            <v>LUZ MIREYA GARZÓN</v>
          </cell>
          <cell r="B42">
            <v>52328311</v>
          </cell>
        </row>
        <row r="43">
          <cell r="A43" t="str">
            <v>MARGARITA GIL</v>
          </cell>
          <cell r="B43">
            <v>52711453</v>
          </cell>
        </row>
        <row r="44">
          <cell r="A44" t="str">
            <v>MARIANA SARMIENTO</v>
          </cell>
          <cell r="B44">
            <v>52862292</v>
          </cell>
        </row>
        <row r="45">
          <cell r="A45" t="str">
            <v>MARTHA VALENZUELA</v>
          </cell>
          <cell r="B45">
            <v>52030345</v>
          </cell>
        </row>
        <row r="46">
          <cell r="A46" t="str">
            <v>MIGUEL DURÁN</v>
          </cell>
          <cell r="B46">
            <v>92541020</v>
          </cell>
        </row>
        <row r="47">
          <cell r="A47" t="str">
            <v>RICARDO RAMÍREZ</v>
          </cell>
          <cell r="B47">
            <v>79444533</v>
          </cell>
        </row>
        <row r="48">
          <cell r="A48" t="str">
            <v>ROCIO QUINCHE</v>
          </cell>
          <cell r="B48">
            <v>1032417388</v>
          </cell>
        </row>
        <row r="49">
          <cell r="A49" t="str">
            <v>RODULFO BECERRA</v>
          </cell>
          <cell r="B49">
            <v>7226034</v>
          </cell>
        </row>
        <row r="50">
          <cell r="A50" t="str">
            <v>SANDRA SALAZAR</v>
          </cell>
          <cell r="B50">
            <v>52075451</v>
          </cell>
        </row>
        <row r="51">
          <cell r="A51" t="str">
            <v>SANDRA VILLABONA</v>
          </cell>
          <cell r="B51">
            <v>52989096</v>
          </cell>
        </row>
        <row r="52">
          <cell r="A52" t="str">
            <v>VICTOR BALDRICH</v>
          </cell>
          <cell r="B52">
            <v>1019105701</v>
          </cell>
        </row>
        <row r="53">
          <cell r="A53" t="str">
            <v>VICTOR SANDOVAL</v>
          </cell>
          <cell r="B53">
            <v>1026264211</v>
          </cell>
        </row>
        <row r="54">
          <cell r="A54" t="str">
            <v>WILVER DELGADO</v>
          </cell>
          <cell r="B54">
            <v>13747812</v>
          </cell>
        </row>
        <row r="55">
          <cell r="A55" t="str">
            <v>YAMILE MATEUS</v>
          </cell>
          <cell r="B55">
            <v>46676269</v>
          </cell>
        </row>
        <row r="56">
          <cell r="A56" t="str">
            <v>YAMITH LIZCANO</v>
          </cell>
          <cell r="B56">
            <v>1032436894</v>
          </cell>
        </row>
        <row r="57">
          <cell r="A57" t="str">
            <v>YARIMA RUEDA</v>
          </cell>
          <cell r="B57">
            <v>60362814</v>
          </cell>
        </row>
        <row r="58">
          <cell r="A58" t="str">
            <v>ZOILA VARGAS</v>
          </cell>
          <cell r="B58">
            <v>46360403</v>
          </cell>
        </row>
        <row r="59">
          <cell r="A59" t="str">
            <v>SANDRA SALAZAR / CLAUDIA UMAÑA</v>
          </cell>
          <cell r="B59" t="str">
            <v>52075451 / 46675942</v>
          </cell>
        </row>
        <row r="60">
          <cell r="A60" t="str">
            <v>VICTOR BALDRICH / RICARDO RAMÍREZ</v>
          </cell>
          <cell r="B60" t="str">
            <v>1019105701 / 79444533</v>
          </cell>
        </row>
        <row r="61">
          <cell r="A61" t="str">
            <v>VICTOR SANDOVAL /RICARDO RAMÍREZ</v>
          </cell>
          <cell r="B61" t="str">
            <v>1026264211 / 79444533</v>
          </cell>
        </row>
        <row r="62">
          <cell r="A62" t="str">
            <v>ALEJANDRA ARENAS / VICTOR SANDOVAL</v>
          </cell>
          <cell r="B62" t="str">
            <v>1020749984 / 1026264211</v>
          </cell>
        </row>
        <row r="63">
          <cell r="A63" t="str">
            <v>SANDRA VILLABONA / INGRID PICÓN</v>
          </cell>
          <cell r="B63" t="str">
            <v>52989096 / 60372503</v>
          </cell>
        </row>
        <row r="64">
          <cell r="A64" t="str">
            <v>WILVER DELGADO / RICARDO RAMÍREZ</v>
          </cell>
          <cell r="B64" t="str">
            <v>13747812 / 79444533</v>
          </cell>
        </row>
        <row r="65">
          <cell r="A65" t="str">
            <v>DIANA WILCHES / INGRID PICÓN</v>
          </cell>
          <cell r="B65" t="str">
            <v>40049758 / 60372503</v>
          </cell>
        </row>
        <row r="66">
          <cell r="A66" t="str">
            <v>DIANA WILCHES / LUIS JORGE GUEVARA</v>
          </cell>
          <cell r="B66" t="str">
            <v>40049758 / 80811747</v>
          </cell>
        </row>
        <row r="67">
          <cell r="A67" t="str">
            <v>VICTOR BALDRICH / MIGUEL DURÁN</v>
          </cell>
          <cell r="B67" t="str">
            <v>1019105701 / 92541020</v>
          </cell>
        </row>
      </sheetData>
      <sheetData sheetId="12"/>
      <sheetData sheetId="13"/>
      <sheetData sheetId="14"/>
      <sheetData sheetId="15"/>
      <sheetData sheetId="16">
        <row r="1">
          <cell r="A1" t="str">
            <v>Nombre Entidad</v>
          </cell>
          <cell r="B1" t="str">
            <v>Nit Entidad</v>
          </cell>
          <cell r="C1" t="str">
            <v>Departamento</v>
          </cell>
          <cell r="D1" t="str">
            <v>Ciudad</v>
          </cell>
          <cell r="E1" t="str">
            <v>Localización</v>
          </cell>
          <cell r="F1" t="str">
            <v>Orden</v>
          </cell>
          <cell r="G1" t="str">
            <v>Sector</v>
          </cell>
          <cell r="H1" t="str">
            <v>Rama</v>
          </cell>
          <cell r="I1" t="str">
            <v>Entidad Centralizada</v>
          </cell>
          <cell r="J1" t="str">
            <v>Proceso de Compra</v>
          </cell>
          <cell r="K1" t="str">
            <v>ID Contrato</v>
          </cell>
          <cell r="L1" t="str">
            <v>Referencia del Contrato</v>
          </cell>
          <cell r="M1" t="str">
            <v>Estado Contrato</v>
          </cell>
          <cell r="N1" t="str">
            <v>Codigo de Categoria Principal</v>
          </cell>
          <cell r="O1" t="str">
            <v>Descripcion del Proceso</v>
          </cell>
          <cell r="P1" t="str">
            <v>Tipo de Contrato</v>
          </cell>
          <cell r="Q1" t="str">
            <v>Modalidad de Contratacion</v>
          </cell>
          <cell r="R1" t="str">
            <v>Justificacion Modalidad de Contratacion</v>
          </cell>
          <cell r="S1" t="str">
            <v>Fecha de Firma</v>
          </cell>
          <cell r="T1" t="str">
            <v>Fecha de Inicio del Contrato</v>
          </cell>
          <cell r="U1" t="str">
            <v>Fecha de Fin del Contrato</v>
          </cell>
          <cell r="V1" t="str">
            <v>Condiciones de Entrega</v>
          </cell>
          <cell r="W1" t="str">
            <v>TipoDocProveedor</v>
          </cell>
          <cell r="X1" t="str">
            <v>Documento Proveedor</v>
          </cell>
          <cell r="Y1" t="str">
            <v>Proveedor Adjudicado</v>
          </cell>
          <cell r="Z1" t="str">
            <v>Es Grupo</v>
          </cell>
          <cell r="AA1" t="str">
            <v>Es Pyme</v>
          </cell>
          <cell r="AB1" t="str">
            <v>Habilita Pago Adelantado</v>
          </cell>
          <cell r="AC1" t="str">
            <v>Liquidación</v>
          </cell>
          <cell r="AD1" t="str">
            <v>Obligación Ambiental</v>
          </cell>
          <cell r="AE1" t="str">
            <v>Obligaciones Postconsumo</v>
          </cell>
          <cell r="AF1" t="str">
            <v>Reversion</v>
          </cell>
          <cell r="AG1" t="str">
            <v>Origen de los Recursos</v>
          </cell>
          <cell r="AH1" t="str">
            <v>Destino Gasto</v>
          </cell>
          <cell r="AI1" t="str">
            <v>Valor del Contrato</v>
          </cell>
          <cell r="AJ1" t="str">
            <v>Valor de pago adelantado</v>
          </cell>
          <cell r="AK1" t="str">
            <v>Valor Facturado</v>
          </cell>
          <cell r="AL1" t="str">
            <v>Valor Pendiente de Pago</v>
          </cell>
          <cell r="AM1" t="str">
            <v>Valor Pagado</v>
          </cell>
          <cell r="AN1" t="str">
            <v>Valor Amortizado</v>
          </cell>
          <cell r="AO1" t="str">
            <v>Valor Pendiente de Amortizacion</v>
          </cell>
          <cell r="AP1" t="str">
            <v>Valor Pendiente de Ejecucion</v>
          </cell>
          <cell r="AQ1" t="str">
            <v>Saldo CDP</v>
          </cell>
          <cell r="AR1" t="str">
            <v>Saldo Vigencia</v>
          </cell>
          <cell r="AS1" t="str">
            <v>EsPostConflicto</v>
          </cell>
          <cell r="AT1" t="str">
            <v>Dias adicionados</v>
          </cell>
          <cell r="AU1" t="str">
            <v>Puntos del Acuerdo</v>
          </cell>
          <cell r="AV1" t="str">
            <v>Pilares del Acuerdo</v>
          </cell>
          <cell r="AW1" t="str">
            <v>URLProceso</v>
          </cell>
          <cell r="AX1" t="str">
            <v>Nombre Representante Legal</v>
          </cell>
          <cell r="AY1" t="str">
            <v>Nacionalidad Representante Legal</v>
          </cell>
          <cell r="AZ1" t="str">
            <v>Domicilio Representante Legal</v>
          </cell>
          <cell r="BA1" t="str">
            <v>Tipo de Identificación Representante Legal</v>
          </cell>
          <cell r="BB1" t="str">
            <v>Identificación Representante Legal</v>
          </cell>
          <cell r="BC1" t="str">
            <v>Género Representante Legal</v>
          </cell>
          <cell r="BD1" t="str">
            <v>Presupuesto General de la Nacion – PGN</v>
          </cell>
          <cell r="BE1" t="str">
            <v>Sistema General de Participaciones</v>
          </cell>
          <cell r="BF1" t="str">
            <v>Sistema General de Regalías</v>
          </cell>
          <cell r="BG1" t="str">
            <v>Recursos Propios (Alcaldías y Gobernaciones)</v>
          </cell>
          <cell r="BH1" t="str">
            <v>Recursos de Credito</v>
          </cell>
          <cell r="BI1" t="str">
            <v>Otros Recursos (Especie, Privados, Cooperación, Propios Entidades Autónomas)</v>
          </cell>
          <cell r="BJ1" t="str">
            <v>Ultima Actualizacion</v>
          </cell>
          <cell r="BK1" t="str">
            <v>Codigo Entidad</v>
          </cell>
          <cell r="BL1" t="str">
            <v>Codigo Proveedor</v>
          </cell>
          <cell r="BM1" t="str">
            <v>Fecha Inicio Liquidacion</v>
          </cell>
          <cell r="BN1" t="str">
            <v>Fecha Fin Liquidacion</v>
          </cell>
          <cell r="BO1" t="str">
            <v>Objeto del Contrato</v>
          </cell>
          <cell r="BP1" t="str">
            <v>Duración del contrato</v>
          </cell>
          <cell r="BQ1" t="str">
            <v>Nombre del banco</v>
          </cell>
          <cell r="BR1" t="str">
            <v>Tipo de cuenta</v>
          </cell>
          <cell r="BS1" t="str">
            <v>Número de cuenta</v>
          </cell>
          <cell r="BT1" t="str">
            <v>El contrato puede ser prorrogado</v>
          </cell>
          <cell r="BU1" t="str">
            <v>Fecha de notificación de prorrogación</v>
          </cell>
          <cell r="BV1" t="str">
            <v>Nombre ordenador del gasto</v>
          </cell>
          <cell r="BW1" t="str">
            <v>Tipo de documento Ordenador del gasto</v>
          </cell>
          <cell r="BX1" t="str">
            <v>Número de documento Ordenador del gasto</v>
          </cell>
          <cell r="BY1" t="str">
            <v>Nombre supervisor</v>
          </cell>
          <cell r="BZ1" t="str">
            <v>Tipo de documento supervisor</v>
          </cell>
          <cell r="CA1" t="str">
            <v>Número de documento supervisor</v>
          </cell>
          <cell r="CB1" t="str">
            <v>Nombre Ordenador de Pago</v>
          </cell>
          <cell r="CC1" t="str">
            <v>Tipo de documento Ordenador de Pago</v>
          </cell>
          <cell r="CD1" t="str">
            <v>Número de documento Ordenador de Pago</v>
          </cell>
          <cell r="CE1" t="str">
            <v>Documentos Tipo</v>
          </cell>
          <cell r="CF1" t="str">
            <v>Descripcion Documentos Tipo</v>
          </cell>
          <cell r="CG1" t="str">
            <v>Dirección de ejecución del contrato</v>
          </cell>
          <cell r="CH1" t="str">
            <v>Criterios de sostenibilidad ambiental</v>
          </cell>
          <cell r="CI1" t="str">
            <v>Requisitos ambientales en las especificaciones técnicas</v>
          </cell>
          <cell r="CJ1" t="str">
            <v>Criterios ambientales en la evaluación de las ofertas</v>
          </cell>
          <cell r="CK1" t="str">
            <v>Obligaciones contractuales o poscontractuales a nivel ambiental</v>
          </cell>
          <cell r="CL1" t="str">
            <v>Uso de etiquetado ecológico</v>
          </cell>
          <cell r="CM1" t="str">
            <v>Obligaciones posconsumo</v>
          </cell>
          <cell r="CN1" t="str">
            <v>Fecha inicio obligaciones posconsumo</v>
          </cell>
          <cell r="CO1" t="str">
            <v>Fecha fin obligaciones posconsumo</v>
          </cell>
          <cell r="CP1" t="str">
            <v>Fecha inicio reversión</v>
          </cell>
          <cell r="CQ1" t="str">
            <v>Fecha fin reversión</v>
          </cell>
        </row>
        <row r="2">
          <cell r="A2" t="str">
            <v>COMISIÓN DE REGULACIÓN DE COMUNICACIONES</v>
          </cell>
          <cell r="B2" t="str">
            <v>830,002,593</v>
          </cell>
          <cell r="C2" t="str">
            <v>Distrito Capital de Bogotá</v>
          </cell>
          <cell r="D2" t="str">
            <v>Bogotá</v>
          </cell>
          <cell r="E2" t="str">
            <v>Colombia, Bogotá,  Bogotá</v>
          </cell>
          <cell r="F2" t="str">
            <v>Nacional</v>
          </cell>
          <cell r="G2" t="str">
            <v>Tecnologías de la Información y las Comunicaciones</v>
          </cell>
          <cell r="H2" t="str">
            <v>Ejecutivo</v>
          </cell>
          <cell r="I2" t="str">
            <v>Centralizada</v>
          </cell>
          <cell r="J2" t="str">
            <v>CO1.BDOS.10026224</v>
          </cell>
          <cell r="K2" t="str">
            <v>CO1.PCCNTR.9381067</v>
          </cell>
          <cell r="L2" t="str">
            <v>CONTRATO 63 DE 2026</v>
          </cell>
          <cell r="M2" t="str">
            <v>En ejecución</v>
          </cell>
          <cell r="N2" t="str">
            <v>V1.81112500</v>
          </cell>
          <cell r="O2" t="str">
            <v>Renovar los servicios de Microsoft Azure Suscripción CSP de la Comisión de Regulación de Comunicaciones; con el fin de garantizar recursos tecnológicos que permitan asegurar la disponibilidad y operación de la infraestructura actual; así como el aprovisionamiento de nuevos servicios de computación e</v>
          </cell>
          <cell r="P2" t="str">
            <v>Prestación de servicios</v>
          </cell>
          <cell r="Q2" t="str">
            <v>Mínima cuantía</v>
          </cell>
          <cell r="R2" t="str">
            <v>Presupuesto inferior al 10% de la menor cuantía</v>
          </cell>
          <cell r="S2" t="str">
            <v>03/06/2026</v>
          </cell>
          <cell r="T2" t="str">
            <v>03/13/2026</v>
          </cell>
          <cell r="U2" t="str">
            <v>03/23/2026</v>
          </cell>
          <cell r="V2" t="str">
            <v>No Definido</v>
          </cell>
          <cell r="W2" t="str">
            <v>NIT</v>
          </cell>
          <cell r="X2" t="str">
            <v>901081283</v>
          </cell>
          <cell r="Y2" t="str">
            <v>BICODE SAS</v>
          </cell>
          <cell r="Z2" t="str">
            <v>No</v>
          </cell>
          <cell r="AA2" t="str">
            <v>Si</v>
          </cell>
          <cell r="AB2" t="str">
            <v>No</v>
          </cell>
          <cell r="AC2" t="str">
            <v>Si</v>
          </cell>
          <cell r="AD2" t="str">
            <v>No</v>
          </cell>
          <cell r="AE2" t="str">
            <v>No</v>
          </cell>
          <cell r="AF2" t="str">
            <v>No</v>
          </cell>
          <cell r="AG2" t="str">
            <v>Distribuido</v>
          </cell>
          <cell r="AH2" t="str">
            <v>Inversión</v>
          </cell>
          <cell r="AI2" t="str">
            <v>$48,829,827</v>
          </cell>
          <cell r="AJ2">
            <v>0</v>
          </cell>
          <cell r="AK2" t="str">
            <v>$42,783,963.4</v>
          </cell>
          <cell r="AL2" t="str">
            <v>$6,045,863.6</v>
          </cell>
          <cell r="AM2" t="str">
            <v>$42,783,963.4</v>
          </cell>
          <cell r="AN2">
            <v>0</v>
          </cell>
          <cell r="AO2">
            <v>0</v>
          </cell>
          <cell r="AP2" t="str">
            <v>$6,045,863.6</v>
          </cell>
          <cell r="AQ2" t="str">
            <v>$48,829,827</v>
          </cell>
          <cell r="AR2">
            <v>0</v>
          </cell>
          <cell r="AS2" t="str">
            <v>No</v>
          </cell>
          <cell r="AT2">
            <v>0</v>
          </cell>
          <cell r="AU2" t="str">
            <v>No aplica</v>
          </cell>
          <cell r="AV2" t="str">
            <v>No aplica</v>
          </cell>
          <cell r="AW2" t="str">
            <v>https://community.secop.gov.co/Public/Tendering/OpportunityDetail/Index?noticeUID=CO1.NTC.10053312&amp;isFromPublicArea=True&amp;isModal=true&amp;asPopupView=true</v>
          </cell>
          <cell r="AX2" t="str">
            <v>Ángela María Vélez Casadiego</v>
          </cell>
          <cell r="AY2" t="str">
            <v>CO</v>
          </cell>
          <cell r="AZ2" t="str">
            <v>Calle 87 # 15 - 23 Ed. Parque 87 Of. 301</v>
          </cell>
          <cell r="BA2" t="str">
            <v>Sin Descripcion</v>
          </cell>
          <cell r="BB2" t="str">
            <v>Sin Descripcion</v>
          </cell>
          <cell r="BC2" t="str">
            <v>Mujer</v>
          </cell>
          <cell r="BD2" t="str">
            <v>$48,829,827</v>
          </cell>
          <cell r="BE2">
            <v>0</v>
          </cell>
          <cell r="BF2">
            <v>0</v>
          </cell>
          <cell r="BG2">
            <v>0</v>
          </cell>
          <cell r="BH2">
            <v>0</v>
          </cell>
          <cell r="BI2">
            <v>0</v>
          </cell>
          <cell r="BK2" t="str">
            <v>700,149,040</v>
          </cell>
          <cell r="BL2">
            <v>704921568</v>
          </cell>
          <cell r="BM2" t="str">
            <v>2026 Mar 20 12:00:00 AM</v>
          </cell>
          <cell r="BN2">
            <v>47319</v>
          </cell>
          <cell r="BO2" t="str">
            <v>Renovar los servicios de Microsoft Azure Suscripción CSP de la Comisión de Regulación de Comunicaciones; con el fin de garantizar recursos tecnológicos que permitan asegurar la disponibilidad y operación de la infraestructura actual; así como el aprovisionamiento de nuevos servicios de computación en la nube que demande el ejercicio misional e institucional de la Entidad y/o el sector de las TICs del país; de conformidad  con la Invitación Pública No. 65 de 2026 y la oferta presentada por el</v>
          </cell>
          <cell r="BP2" t="str">
            <v>11 Dia(s)</v>
          </cell>
          <cell r="BQ2" t="str">
            <v>No definido</v>
          </cell>
          <cell r="BR2" t="str">
            <v>No Definido</v>
          </cell>
          <cell r="BS2" t="str">
            <v>No definido</v>
          </cell>
          <cell r="BT2" t="str">
            <v>No</v>
          </cell>
          <cell r="BU2" t="str">
            <v/>
          </cell>
          <cell r="BV2" t="str">
            <v>No definido</v>
          </cell>
          <cell r="BW2" t="str">
            <v>No definido</v>
          </cell>
          <cell r="BX2" t="str">
            <v>No definido</v>
          </cell>
          <cell r="BY2" t="str">
            <v>No definido</v>
          </cell>
          <cell r="BZ2" t="str">
            <v>No definido</v>
          </cell>
          <cell r="CA2" t="str">
            <v>No definido</v>
          </cell>
          <cell r="CB2" t="str">
            <v>DIANA WILCHES</v>
          </cell>
          <cell r="CC2" t="str">
            <v>Cédula de Ciudadanía</v>
          </cell>
          <cell r="CD2" t="str">
            <v>40049758</v>
          </cell>
          <cell r="CE2" t="str">
            <v>No</v>
          </cell>
          <cell r="CF2" t="str">
            <v>No definido</v>
          </cell>
          <cell r="CG2" t="str">
            <v>Calle 59 a Bis # 5 - 53 Piso 9 EDIFICIO LINK SIETE SESENTA
Bogotá
Distrito Capital de Bogotá
COLOMBIA</v>
          </cell>
          <cell r="CH2" t="str">
            <v>No definido</v>
          </cell>
          <cell r="CI2" t="str">
            <v>No definido</v>
          </cell>
          <cell r="CJ2" t="str">
            <v>No definido</v>
          </cell>
          <cell r="CK2" t="str">
            <v>No definido</v>
          </cell>
          <cell r="CL2" t="str">
            <v>No definido</v>
          </cell>
          <cell r="CM2" t="str">
            <v>No</v>
          </cell>
          <cell r="CN2" t="str">
            <v/>
          </cell>
          <cell r="CO2" t="str">
            <v/>
          </cell>
          <cell r="CP2" t="str">
            <v/>
          </cell>
          <cell r="CQ2" t="str">
            <v/>
          </cell>
        </row>
        <row r="3">
          <cell r="A3" t="str">
            <v>COMISIÓN DE REGULACIÓN DE COMUNICACIONES</v>
          </cell>
          <cell r="B3" t="str">
            <v>830,002,593</v>
          </cell>
          <cell r="C3" t="str">
            <v>Distrito Capital de Bogotá</v>
          </cell>
          <cell r="D3" t="str">
            <v>Bogotá</v>
          </cell>
          <cell r="E3" t="str">
            <v>Colombia, Bogotá,  Bogotá</v>
          </cell>
          <cell r="F3" t="str">
            <v>Nacional</v>
          </cell>
          <cell r="G3" t="str">
            <v>Tecnologías de la Información y las Comunicaciones</v>
          </cell>
          <cell r="H3" t="str">
            <v>Ejecutivo</v>
          </cell>
          <cell r="I3" t="str">
            <v>Centralizada</v>
          </cell>
          <cell r="J3" t="str">
            <v>CO1.BDOS.9543510</v>
          </cell>
          <cell r="K3" t="str">
            <v>CO1.PCCNTR.8976241</v>
          </cell>
          <cell r="L3" t="str">
            <v>CONTRATO 48 DE 2026</v>
          </cell>
          <cell r="M3" t="str">
            <v>En ejecución</v>
          </cell>
          <cell r="N3" t="str">
            <v>V1.83121701</v>
          </cell>
          <cell r="O3" t="str">
            <v>Brindar apoyo profesional para observar; analizar y evaluar contenidos audiovisuales con el fin de generar informes y reportes sobre el cumplimiento de los lineamientos legales y reglamentarios de dichos contenidos respecto del pluralismo e imparcialidad informativos; en el marco de los proyectos co</v>
          </cell>
          <cell r="P3" t="str">
            <v>Prestación de servicios</v>
          </cell>
          <cell r="Q3" t="str">
            <v>Contratación directa</v>
          </cell>
          <cell r="R3" t="str">
            <v>Servicios profesionales y apoyo a la gestión</v>
          </cell>
          <cell r="S3" t="str">
            <v>01/19/2026</v>
          </cell>
          <cell r="T3" t="str">
            <v>01/26/2026</v>
          </cell>
          <cell r="U3" t="str">
            <v>11/25/2026</v>
          </cell>
          <cell r="V3" t="str">
            <v>No Definido</v>
          </cell>
          <cell r="W3" t="str">
            <v>Cédula de Ciudadanía</v>
          </cell>
          <cell r="X3" t="str">
            <v>1032499959</v>
          </cell>
          <cell r="Y3" t="str">
            <v>Daniel Federico Clavijo Dueñas</v>
          </cell>
          <cell r="Z3" t="str">
            <v>No</v>
          </cell>
          <cell r="AA3" t="str">
            <v>No</v>
          </cell>
          <cell r="AB3" t="str">
            <v>No</v>
          </cell>
          <cell r="AC3" t="str">
            <v>No</v>
          </cell>
          <cell r="AD3" t="str">
            <v>No</v>
          </cell>
          <cell r="AE3" t="str">
            <v>No</v>
          </cell>
          <cell r="AF3" t="str">
            <v>No</v>
          </cell>
          <cell r="AG3" t="str">
            <v>Distribuido</v>
          </cell>
          <cell r="AH3" t="str">
            <v>Inversión</v>
          </cell>
          <cell r="AI3" t="str">
            <v>$40,000,000</v>
          </cell>
          <cell r="AJ3">
            <v>0</v>
          </cell>
          <cell r="AK3" t="str">
            <v>$32,000,000</v>
          </cell>
          <cell r="AL3" t="str">
            <v>$8,000,000</v>
          </cell>
          <cell r="AM3" t="str">
            <v>$32,000,000</v>
          </cell>
          <cell r="AN3">
            <v>0</v>
          </cell>
          <cell r="AO3">
            <v>0</v>
          </cell>
          <cell r="AP3" t="str">
            <v>$8,000,000</v>
          </cell>
          <cell r="AQ3" t="str">
            <v>$40,000,000</v>
          </cell>
          <cell r="AR3">
            <v>0</v>
          </cell>
          <cell r="AS3" t="str">
            <v>No</v>
          </cell>
          <cell r="AT3">
            <v>0</v>
          </cell>
          <cell r="AU3" t="str">
            <v>No aplica</v>
          </cell>
          <cell r="AV3" t="str">
            <v>No aplica</v>
          </cell>
          <cell r="AW3" t="str">
            <v>https://community.secop.gov.co/Public/Tendering/OpportunityDetail/Index?noticeUID=CO1.NTC.9606657&amp;isFromPublicArea=True&amp;isModal=true&amp;asPopupView=true</v>
          </cell>
          <cell r="AX3" t="str">
            <v>Daniel Federico Clavijo Dueñas</v>
          </cell>
          <cell r="AY3" t="str">
            <v>CO</v>
          </cell>
          <cell r="AZ3" t="str">
            <v>No Definido</v>
          </cell>
          <cell r="BA3" t="str">
            <v>Sin Descripcion</v>
          </cell>
          <cell r="BB3" t="str">
            <v>Sin Descripcion</v>
          </cell>
          <cell r="BC3" t="str">
            <v>No Definido</v>
          </cell>
          <cell r="BD3" t="str">
            <v>$40,000,000</v>
          </cell>
          <cell r="BE3">
            <v>0</v>
          </cell>
          <cell r="BF3">
            <v>0</v>
          </cell>
          <cell r="BG3">
            <v>0</v>
          </cell>
          <cell r="BH3">
            <v>0</v>
          </cell>
          <cell r="BI3">
            <v>0</v>
          </cell>
          <cell r="BK3" t="str">
            <v>700,149,040</v>
          </cell>
          <cell r="BL3">
            <v>732387725</v>
          </cell>
          <cell r="BM3" t="str">
            <v/>
          </cell>
          <cell r="BO3" t="str">
            <v>Brindar apoyo profesional para observar; analizar y evaluar contenidos audiovisuales con el fin de generar informes y reportes sobre el cumplimiento de los lineamientos legales y reglamentarios de dichos contenidos respecto del pluralismo e imparcialidad informativos; en el marco de los proyectos contemplados dentro de la Agenda Regulatoria y el Plan de Acción 2026</v>
          </cell>
          <cell r="BP3" t="str">
            <v>10 Mes(es)</v>
          </cell>
          <cell r="BQ3" t="str">
            <v>No definido</v>
          </cell>
          <cell r="BR3" t="str">
            <v>No Definido</v>
          </cell>
          <cell r="BS3" t="str">
            <v>No definido</v>
          </cell>
          <cell r="BT3" t="str">
            <v>No</v>
          </cell>
          <cell r="BU3" t="str">
            <v/>
          </cell>
          <cell r="BV3" t="str">
            <v>No definido</v>
          </cell>
          <cell r="BW3" t="str">
            <v>No definido</v>
          </cell>
          <cell r="BX3" t="str">
            <v>No definido</v>
          </cell>
          <cell r="BY3" t="str">
            <v>Ricardo Ramirez Hernandez</v>
          </cell>
          <cell r="BZ3" t="str">
            <v>Cédula de Ciudadanía</v>
          </cell>
          <cell r="CA3" t="str">
            <v>79444533</v>
          </cell>
          <cell r="CB3" t="str">
            <v>DIANA WILCHES</v>
          </cell>
          <cell r="CC3" t="str">
            <v>Cédula de Ciudadanía</v>
          </cell>
          <cell r="CD3" t="str">
            <v>40049758</v>
          </cell>
          <cell r="CE3" t="str">
            <v>No</v>
          </cell>
          <cell r="CF3" t="str">
            <v>No definido</v>
          </cell>
          <cell r="CG3" t="str">
            <v>Calle 59 a Bis # 5 - 53 Piso 9 EDIFICIO LINK SIETE SESENTA
Bogotá
Distrito Capital de Bogotá
COLOMBIA</v>
          </cell>
          <cell r="CH3" t="str">
            <v>No definido</v>
          </cell>
          <cell r="CI3" t="str">
            <v>No definido</v>
          </cell>
          <cell r="CJ3" t="str">
            <v>No definido</v>
          </cell>
          <cell r="CK3" t="str">
            <v>No definido</v>
          </cell>
          <cell r="CL3" t="str">
            <v>No definido</v>
          </cell>
          <cell r="CM3" t="str">
            <v>No</v>
          </cell>
          <cell r="CN3" t="str">
            <v/>
          </cell>
          <cell r="CO3" t="str">
            <v/>
          </cell>
          <cell r="CP3" t="str">
            <v/>
          </cell>
          <cell r="CQ3" t="str">
            <v/>
          </cell>
        </row>
        <row r="4">
          <cell r="A4" t="str">
            <v>COMISIÓN DE REGULACIÓN DE COMUNICACIONES</v>
          </cell>
          <cell r="B4" t="str">
            <v>830,002,593</v>
          </cell>
          <cell r="C4" t="str">
            <v>Distrito Capital de Bogotá</v>
          </cell>
          <cell r="D4" t="str">
            <v>Bogotá</v>
          </cell>
          <cell r="E4" t="str">
            <v>Colombia, Bogotá,  Bogotá</v>
          </cell>
          <cell r="F4" t="str">
            <v>Nacional</v>
          </cell>
          <cell r="G4" t="str">
            <v>Tecnologías de la Información y las Comunicaciones</v>
          </cell>
          <cell r="H4" t="str">
            <v>Ejecutivo</v>
          </cell>
          <cell r="I4" t="str">
            <v>Centralizada</v>
          </cell>
          <cell r="J4" t="str">
            <v>CO1.BDOS.10096478</v>
          </cell>
          <cell r="K4" t="str">
            <v>CO1.PCCNTR.9528440</v>
          </cell>
          <cell r="L4" t="str">
            <v>CONTRATO 73 DE 2026</v>
          </cell>
          <cell r="M4" t="str">
            <v>Modificado</v>
          </cell>
          <cell r="N4" t="str">
            <v>V1.81112002</v>
          </cell>
          <cell r="O4" t="str">
            <v>EL CONTRATISTA se obliga con LA COMISIÓN a prestar los servicios de consultoría especializada para el diseño metodológico; desarrollo y entrega de los estudios denominados «El rol de los servicios OTT en el sector de las comunicaciones» y «Medición de percepción de calidad de los servicios de comuni</v>
          </cell>
          <cell r="P4" t="str">
            <v>Consultoría</v>
          </cell>
          <cell r="Q4" t="str">
            <v>Concurso de méritos abierto</v>
          </cell>
          <cell r="R4" t="str">
            <v>Ley 1150 de 2007</v>
          </cell>
          <cell r="S4" t="str">
            <v>05/22/2026</v>
          </cell>
          <cell r="T4" t="str">
            <v>05/29/2026</v>
          </cell>
          <cell r="U4" t="str">
            <v>12/31/2026</v>
          </cell>
          <cell r="V4" t="str">
            <v>NXTWY.DLVY.6</v>
          </cell>
          <cell r="W4" t="str">
            <v>NIT</v>
          </cell>
          <cell r="X4" t="str">
            <v>830100700</v>
          </cell>
          <cell r="Y4" t="str">
            <v>Brandstrat  BIC S.A.S</v>
          </cell>
          <cell r="Z4" t="str">
            <v>No</v>
          </cell>
          <cell r="AA4" t="str">
            <v>Si</v>
          </cell>
          <cell r="AB4" t="str">
            <v>No</v>
          </cell>
          <cell r="AC4" t="str">
            <v>Si</v>
          </cell>
          <cell r="AD4" t="str">
            <v>No</v>
          </cell>
          <cell r="AE4" t="str">
            <v>No</v>
          </cell>
          <cell r="AF4" t="str">
            <v>No</v>
          </cell>
          <cell r="AG4" t="str">
            <v>Distribuido</v>
          </cell>
          <cell r="AH4" t="str">
            <v>Inversión</v>
          </cell>
          <cell r="AI4" t="str">
            <v>$1,316,887,500</v>
          </cell>
          <cell r="AJ4">
            <v>0</v>
          </cell>
          <cell r="AK4" t="str">
            <v>$329,221,875</v>
          </cell>
          <cell r="AL4" t="str">
            <v>$987,665,625</v>
          </cell>
          <cell r="AM4" t="str">
            <v>$329,221,875</v>
          </cell>
          <cell r="AN4">
            <v>0</v>
          </cell>
          <cell r="AO4">
            <v>0</v>
          </cell>
          <cell r="AP4" t="str">
            <v>$987,665,625</v>
          </cell>
          <cell r="AQ4" t="str">
            <v>$1,316,887,515</v>
          </cell>
          <cell r="AR4">
            <v>0</v>
          </cell>
          <cell r="AS4" t="str">
            <v>No</v>
          </cell>
          <cell r="AT4">
            <v>20</v>
          </cell>
          <cell r="AU4" t="str">
            <v>No aplica</v>
          </cell>
          <cell r="AV4" t="str">
            <v>No aplica</v>
          </cell>
          <cell r="AW4" t="str">
            <v>https://community.secop.gov.co/Public/Tendering/OpportunityDetail/Index?noticeUID=CO1.NTC.10161916&amp;isFromPublicArea=True&amp;isModal=true&amp;asPopupView=true</v>
          </cell>
          <cell r="AX4" t="str">
            <v>Rafael Alfonso Lopez Llamas</v>
          </cell>
          <cell r="AY4" t="str">
            <v>CO</v>
          </cell>
          <cell r="AZ4" t="str">
            <v>Calle 95 # 11ª- 37 Of. 501</v>
          </cell>
          <cell r="BA4" t="str">
            <v>Cédula de Ciudadanía</v>
          </cell>
          <cell r="BB4" t="str">
            <v>79939</v>
          </cell>
          <cell r="BC4" t="str">
            <v>Hombre</v>
          </cell>
          <cell r="BD4" t="str">
            <v>$1,316,887,500</v>
          </cell>
          <cell r="BE4">
            <v>0</v>
          </cell>
          <cell r="BF4">
            <v>0</v>
          </cell>
          <cell r="BG4">
            <v>0</v>
          </cell>
          <cell r="BH4">
            <v>0</v>
          </cell>
          <cell r="BI4">
            <v>0</v>
          </cell>
          <cell r="BJ4">
            <v>46311</v>
          </cell>
          <cell r="BK4" t="str">
            <v>700,149,040</v>
          </cell>
          <cell r="BL4">
            <v>700815012</v>
          </cell>
          <cell r="BM4" t="str">
            <v>2026 Dec 12 12:00:00 AM</v>
          </cell>
          <cell r="BN4">
            <v>47281</v>
          </cell>
          <cell r="BO4" t="str">
            <v>EL CONTRATISTA se obliga con LA COMISIÓN a prestar los servicios de consultoría especializada para el diseño metodológico; desarrollo y entrega de los estudios denominados «El rol de los servicios OTT en el sector de las comunicaciones» y «Medición de percepción de calidad de los servicios de comunicaciones»; incluyendo el análisis técnico; económico y regulatorio correspondiente; así como la formulación de recomendaciones orientadas al fortalecimiento de la prospectiva sectorial...</v>
          </cell>
          <cell r="BP4" t="str">
            <v>7 Mes(es)</v>
          </cell>
          <cell r="BQ4" t="str">
            <v>No definido</v>
          </cell>
          <cell r="BR4" t="str">
            <v>No Definido</v>
          </cell>
          <cell r="BS4" t="str">
            <v>No definido</v>
          </cell>
          <cell r="BT4" t="str">
            <v>No</v>
          </cell>
          <cell r="BU4" t="str">
            <v/>
          </cell>
          <cell r="BV4" t="str">
            <v>No definido</v>
          </cell>
          <cell r="BW4" t="str">
            <v>No definido</v>
          </cell>
          <cell r="BX4" t="str">
            <v>No definido</v>
          </cell>
          <cell r="BY4" t="str">
            <v>No definido</v>
          </cell>
          <cell r="BZ4" t="str">
            <v>No definido</v>
          </cell>
          <cell r="CA4" t="str">
            <v>No definido</v>
          </cell>
          <cell r="CB4" t="str">
            <v>No definido</v>
          </cell>
          <cell r="CC4" t="str">
            <v>No definido</v>
          </cell>
          <cell r="CD4" t="str">
            <v>No definido</v>
          </cell>
          <cell r="CE4" t="str">
            <v>No</v>
          </cell>
          <cell r="CF4" t="str">
            <v>No definido</v>
          </cell>
          <cell r="CG4" t="str">
            <v>Calle 59 a Bis # 5 - 53 Piso 9 EDIFICIO LINK SIETE SESENTA
Bogotá
Distrito Capital de Bogotá
COLOMBIA</v>
          </cell>
          <cell r="CH4" t="str">
            <v>No definido</v>
          </cell>
          <cell r="CI4" t="str">
            <v>No definido</v>
          </cell>
          <cell r="CJ4" t="str">
            <v>No definido</v>
          </cell>
          <cell r="CK4" t="str">
            <v>No definido</v>
          </cell>
          <cell r="CL4" t="str">
            <v>No definido</v>
          </cell>
          <cell r="CM4" t="str">
            <v>No</v>
          </cell>
          <cell r="CN4" t="str">
            <v/>
          </cell>
          <cell r="CO4" t="str">
            <v/>
          </cell>
          <cell r="CP4" t="str">
            <v/>
          </cell>
          <cell r="CQ4" t="str">
            <v/>
          </cell>
        </row>
        <row r="5">
          <cell r="A5" t="str">
            <v>COMISIÓN DE REGULACIÓN DE COMUNICACIONES</v>
          </cell>
          <cell r="B5" t="str">
            <v>830,002,593</v>
          </cell>
          <cell r="C5" t="str">
            <v>Distrito Capital de Bogotá</v>
          </cell>
          <cell r="D5" t="str">
            <v>Bogotá</v>
          </cell>
          <cell r="E5" t="str">
            <v>Colombia, Bogotá,  Bogotá</v>
          </cell>
          <cell r="F5" t="str">
            <v>Nacional</v>
          </cell>
          <cell r="G5" t="str">
            <v>Tecnologías de la Información y las Comunicaciones</v>
          </cell>
          <cell r="H5" t="str">
            <v>Ejecutivo</v>
          </cell>
          <cell r="I5" t="str">
            <v>Centralizada</v>
          </cell>
          <cell r="J5" t="str">
            <v>CO1.BDOS.9320897</v>
          </cell>
          <cell r="K5" t="str">
            <v>CO1.PCCNTR.8894865</v>
          </cell>
          <cell r="L5" t="str">
            <v>CONTRATO 36 DE 2026</v>
          </cell>
          <cell r="M5" t="str">
            <v>En ejecución</v>
          </cell>
          <cell r="N5" t="str">
            <v>V1.84111502</v>
          </cell>
          <cell r="O5" t="str">
            <v>EL CONTRATISTA se 
compromete con LA COMISIÓN a prestar los servicios profesionales especializados en las áreas del 
conocimiento de contabilidad y auditoría; integrando actividades de análisis y revisión de información 
financiera de los agentes regulados por la CRC; así como la aplicación e interp</v>
          </cell>
          <cell r="P5" t="str">
            <v>Prestación de servicios</v>
          </cell>
          <cell r="Q5" t="str">
            <v>Contratación directa</v>
          </cell>
          <cell r="R5" t="str">
            <v>Servicios profesionales y apoyo a la gestión</v>
          </cell>
          <cell r="S5" t="str">
            <v>01/15/2026</v>
          </cell>
          <cell r="T5" t="str">
            <v>01/19/2026</v>
          </cell>
          <cell r="U5" t="str">
            <v>12/31/2026</v>
          </cell>
          <cell r="V5" t="str">
            <v>NXTWY.DLVY.6</v>
          </cell>
          <cell r="W5" t="str">
            <v>Cédula de Ciudadanía</v>
          </cell>
          <cell r="X5" t="str">
            <v>79444625</v>
          </cell>
          <cell r="Y5" t="str">
            <v>Juan Carlos Niño Martinez</v>
          </cell>
          <cell r="Z5" t="str">
            <v>No</v>
          </cell>
          <cell r="AA5" t="str">
            <v>No</v>
          </cell>
          <cell r="AB5" t="str">
            <v>No</v>
          </cell>
          <cell r="AC5" t="str">
            <v>No</v>
          </cell>
          <cell r="AD5" t="str">
            <v>No</v>
          </cell>
          <cell r="AE5" t="str">
            <v>No</v>
          </cell>
          <cell r="AF5" t="str">
            <v>No</v>
          </cell>
          <cell r="AG5" t="str">
            <v>Distribuido</v>
          </cell>
          <cell r="AH5" t="str">
            <v>Inversión</v>
          </cell>
          <cell r="AI5" t="str">
            <v>$154,992,000</v>
          </cell>
          <cell r="AJ5">
            <v>0</v>
          </cell>
          <cell r="AK5" t="str">
            <v>$51,266,793</v>
          </cell>
          <cell r="AL5" t="str">
            <v>$103,725,207</v>
          </cell>
          <cell r="AM5" t="str">
            <v>$51,266,793</v>
          </cell>
          <cell r="AN5">
            <v>0</v>
          </cell>
          <cell r="AO5">
            <v>0</v>
          </cell>
          <cell r="AP5" t="str">
            <v>$103,725,207</v>
          </cell>
          <cell r="AQ5" t="str">
            <v>$154,992,000</v>
          </cell>
          <cell r="AR5">
            <v>0</v>
          </cell>
          <cell r="AS5" t="str">
            <v>No</v>
          </cell>
          <cell r="AT5">
            <v>0</v>
          </cell>
          <cell r="AU5" t="str">
            <v>No aplica</v>
          </cell>
          <cell r="AV5" t="str">
            <v>No aplica</v>
          </cell>
          <cell r="AW5" t="str">
            <v>https://community.secop.gov.co/Public/Tendering/OpportunityDetail/Index?noticeUID=CO1.NTC.9527269&amp;isFromPublicArea=True&amp;isModal=true&amp;asPopupView=true</v>
          </cell>
          <cell r="AX5" t="str">
            <v>Juan Carlos Niño Martinez</v>
          </cell>
          <cell r="AY5" t="str">
            <v>CO</v>
          </cell>
          <cell r="AZ5" t="str">
            <v>Calle 155 # 9 - 50</v>
          </cell>
          <cell r="BA5" t="str">
            <v>Cédula de Ciudadanía</v>
          </cell>
          <cell r="BB5" t="str">
            <v>79444625</v>
          </cell>
          <cell r="BC5" t="str">
            <v>Hombre</v>
          </cell>
          <cell r="BD5" t="str">
            <v>$154,992,000</v>
          </cell>
          <cell r="BE5">
            <v>0</v>
          </cell>
          <cell r="BF5">
            <v>0</v>
          </cell>
          <cell r="BG5">
            <v>0</v>
          </cell>
          <cell r="BH5">
            <v>0</v>
          </cell>
          <cell r="BI5">
            <v>0</v>
          </cell>
          <cell r="BK5" t="str">
            <v>700,149,040</v>
          </cell>
          <cell r="BL5">
            <v>703595983</v>
          </cell>
          <cell r="BM5" t="str">
            <v/>
          </cell>
          <cell r="BO5" t="str">
            <v>EL CONTRATISTA se 
compromete con LA COMISIÓN a prestar los servicios profesionales especializados en las áreas del 
conocimiento de contabilidad y auditoría; integrando actividades de análisis y revisión de información 
financiera de los agentes regulados por la CRC; así como la aplicación e interpretación de las Normas 
Internacionales de la Información Financiera (NIIF); con el fin de respaldar y fortalecer el desarrollo de 
proyectos regulatorios y otras actividades misionales de la Entidad;</v>
          </cell>
          <cell r="BP5" t="str">
            <v>11 Mes(es)</v>
          </cell>
          <cell r="BQ5" t="str">
            <v>No definido</v>
          </cell>
          <cell r="BR5" t="str">
            <v>No Definido</v>
          </cell>
          <cell r="BS5" t="str">
            <v>No definido</v>
          </cell>
          <cell r="BT5" t="str">
            <v>No</v>
          </cell>
          <cell r="BU5" t="str">
            <v/>
          </cell>
          <cell r="BV5" t="str">
            <v>No definido</v>
          </cell>
          <cell r="BW5" t="str">
            <v>No definido</v>
          </cell>
          <cell r="BX5" t="str">
            <v>No definido</v>
          </cell>
          <cell r="BY5" t="str">
            <v>Miguel Andrés Durán Dajud</v>
          </cell>
          <cell r="BZ5" t="str">
            <v>Cédula de Ciudadanía</v>
          </cell>
          <cell r="CA5" t="str">
            <v>92541020</v>
          </cell>
          <cell r="CB5" t="str">
            <v>No definido</v>
          </cell>
          <cell r="CC5" t="str">
            <v>No definido</v>
          </cell>
          <cell r="CD5" t="str">
            <v>No definido</v>
          </cell>
          <cell r="CE5" t="str">
            <v>No</v>
          </cell>
          <cell r="CF5" t="str">
            <v>No definido</v>
          </cell>
          <cell r="CG5" t="str">
            <v>Calle 59 a Bis # 5 - 53 Piso 9 EDIFICIO LINK SIETE SESENTA
Bogotá
Distrito Capital de Bogotá
COLOMBIA</v>
          </cell>
          <cell r="CH5" t="str">
            <v>No definido</v>
          </cell>
          <cell r="CI5" t="str">
            <v>No definido</v>
          </cell>
          <cell r="CJ5" t="str">
            <v>No definido</v>
          </cell>
          <cell r="CK5" t="str">
            <v>No definido</v>
          </cell>
          <cell r="CL5" t="str">
            <v>No definido</v>
          </cell>
          <cell r="CM5" t="str">
            <v>No</v>
          </cell>
          <cell r="CN5" t="str">
            <v/>
          </cell>
          <cell r="CO5" t="str">
            <v/>
          </cell>
          <cell r="CP5" t="str">
            <v/>
          </cell>
          <cell r="CQ5" t="str">
            <v/>
          </cell>
        </row>
        <row r="6">
          <cell r="A6" t="str">
            <v>COMISIÓN DE REGULACIÓN DE COMUNICACIONES</v>
          </cell>
          <cell r="B6" t="str">
            <v>830,002,593</v>
          </cell>
          <cell r="C6" t="str">
            <v>Distrito Capital de Bogotá</v>
          </cell>
          <cell r="D6" t="str">
            <v>Bogotá</v>
          </cell>
          <cell r="E6" t="str">
            <v>Colombia, Bogotá,  Bogotá</v>
          </cell>
          <cell r="F6" t="str">
            <v>Nacional</v>
          </cell>
          <cell r="G6" t="str">
            <v>Tecnologías de la Información y las Comunicaciones</v>
          </cell>
          <cell r="H6" t="str">
            <v>Ejecutivo</v>
          </cell>
          <cell r="I6" t="str">
            <v>Centralizada</v>
          </cell>
          <cell r="J6" t="str">
            <v>CO1.BDOS.9323840</v>
          </cell>
          <cell r="K6" t="str">
            <v>CO1.PCCNTR.8920855</v>
          </cell>
          <cell r="L6" t="str">
            <v>CONTRATO 22 DE 2026</v>
          </cell>
          <cell r="M6" t="str">
            <v>En ejecución</v>
          </cell>
          <cell r="N6" t="str">
            <v>V1.80121601</v>
          </cell>
          <cell r="O6" t="str">
            <v>Sin Descripcion</v>
          </cell>
          <cell r="P6" t="str">
            <v>Prestación de servicios</v>
          </cell>
          <cell r="Q6" t="str">
            <v>Contratación directa</v>
          </cell>
          <cell r="R6" t="str">
            <v>Servicios profesionales y apoyo a la gestión</v>
          </cell>
          <cell r="S6" t="str">
            <v>01/16/2026</v>
          </cell>
          <cell r="T6" t="str">
            <v>01/20/2026</v>
          </cell>
          <cell r="U6" t="str">
            <v>12/31/2026</v>
          </cell>
          <cell r="V6" t="str">
            <v>NXTWY.DLVY.6</v>
          </cell>
          <cell r="W6" t="str">
            <v>Cédula de Ciudadanía</v>
          </cell>
          <cell r="X6" t="str">
            <v>52708167</v>
          </cell>
          <cell r="Y6" t="str">
            <v>Cubillos Vargas</v>
          </cell>
          <cell r="Z6" t="str">
            <v>No</v>
          </cell>
          <cell r="AA6" t="str">
            <v>No</v>
          </cell>
          <cell r="AB6" t="str">
            <v>No</v>
          </cell>
          <cell r="AC6" t="str">
            <v>No</v>
          </cell>
          <cell r="AD6" t="str">
            <v>No</v>
          </cell>
          <cell r="AE6" t="str">
            <v>No</v>
          </cell>
          <cell r="AF6" t="str">
            <v>No</v>
          </cell>
          <cell r="AG6" t="str">
            <v>Distribuido</v>
          </cell>
          <cell r="AH6" t="str">
            <v>Inversión</v>
          </cell>
          <cell r="AI6" t="str">
            <v>$243,079,000</v>
          </cell>
          <cell r="AJ6">
            <v>0</v>
          </cell>
          <cell r="AK6" t="str">
            <v>$155,712,120.93</v>
          </cell>
          <cell r="AL6" t="str">
            <v>$87,366,879.07</v>
          </cell>
          <cell r="AM6" t="str">
            <v>$155,712,120.93</v>
          </cell>
          <cell r="AN6">
            <v>0</v>
          </cell>
          <cell r="AO6">
            <v>0</v>
          </cell>
          <cell r="AP6" t="str">
            <v>$87,366,879.07</v>
          </cell>
          <cell r="AQ6" t="str">
            <v>$243,079,000</v>
          </cell>
          <cell r="AR6">
            <v>0</v>
          </cell>
          <cell r="AS6" t="str">
            <v>No</v>
          </cell>
          <cell r="AT6">
            <v>0</v>
          </cell>
          <cell r="AU6" t="str">
            <v>No aplica</v>
          </cell>
          <cell r="AV6" t="str">
            <v>No aplica</v>
          </cell>
          <cell r="AW6" t="str">
            <v>https://community.secop.gov.co/Public/Tendering/OpportunityDetail/Index?noticeUID=CO1.NTC.9553368&amp;isFromPublicArea=True&amp;isModal=true&amp;asPopupView=true</v>
          </cell>
          <cell r="AX6" t="str">
            <v>LILIAM AMPARO CUBILLOS VARGAS</v>
          </cell>
          <cell r="AY6" t="str">
            <v>CO</v>
          </cell>
          <cell r="AZ6" t="str">
            <v>No Definido</v>
          </cell>
          <cell r="BA6" t="str">
            <v>Cédula de Ciudadanía</v>
          </cell>
          <cell r="BB6" t="str">
            <v>52708167</v>
          </cell>
          <cell r="BC6" t="str">
            <v>Mujer</v>
          </cell>
          <cell r="BD6" t="str">
            <v>$243,079,000</v>
          </cell>
          <cell r="BE6">
            <v>0</v>
          </cell>
          <cell r="BF6">
            <v>0</v>
          </cell>
          <cell r="BG6">
            <v>0</v>
          </cell>
          <cell r="BH6">
            <v>0</v>
          </cell>
          <cell r="BI6">
            <v>0</v>
          </cell>
          <cell r="BK6" t="str">
            <v>700,149,040</v>
          </cell>
          <cell r="BL6">
            <v>702375742</v>
          </cell>
          <cell r="BM6" t="str">
            <v/>
          </cell>
          <cell r="BO6" t="str">
            <v>No definido</v>
          </cell>
          <cell r="BP6" t="str">
            <v>345 Dia(s)</v>
          </cell>
          <cell r="BQ6" t="str">
            <v>No definido</v>
          </cell>
          <cell r="BR6" t="str">
            <v>No Definido</v>
          </cell>
          <cell r="BS6" t="str">
            <v>No definido</v>
          </cell>
          <cell r="BT6" t="str">
            <v>No</v>
          </cell>
          <cell r="BU6" t="str">
            <v/>
          </cell>
          <cell r="BV6" t="str">
            <v>No definido</v>
          </cell>
          <cell r="BW6" t="str">
            <v>No definido</v>
          </cell>
          <cell r="BX6" t="str">
            <v>No definido</v>
          </cell>
          <cell r="BY6" t="str">
            <v>No definido</v>
          </cell>
          <cell r="BZ6" t="str">
            <v>No definido</v>
          </cell>
          <cell r="CA6" t="str">
            <v>No definido</v>
          </cell>
          <cell r="CB6" t="str">
            <v>No definido</v>
          </cell>
          <cell r="CC6" t="str">
            <v>No definido</v>
          </cell>
          <cell r="CD6" t="str">
            <v>No definido</v>
          </cell>
          <cell r="CE6" t="str">
            <v>No</v>
          </cell>
          <cell r="CF6" t="str">
            <v>No definido</v>
          </cell>
          <cell r="CG6" t="str">
            <v>Calle 59 a Bis # 5 - 53 Piso 9 EDIFICIO LINK SIETE SESENTA
Bogotá
Distrito Capital de Bogotá
COLOMBIA</v>
          </cell>
          <cell r="CH6" t="str">
            <v>No definido</v>
          </cell>
          <cell r="CI6" t="str">
            <v>No definido</v>
          </cell>
          <cell r="CJ6" t="str">
            <v>No definido</v>
          </cell>
          <cell r="CK6" t="str">
            <v>No definido</v>
          </cell>
          <cell r="CL6" t="str">
            <v>No definido</v>
          </cell>
          <cell r="CM6" t="str">
            <v>No</v>
          </cell>
          <cell r="CN6" t="str">
            <v/>
          </cell>
          <cell r="CO6" t="str">
            <v/>
          </cell>
          <cell r="CP6" t="str">
            <v/>
          </cell>
          <cell r="CQ6" t="str">
            <v/>
          </cell>
        </row>
        <row r="7">
          <cell r="A7" t="str">
            <v>COMISIÓN DE REGULACIÓN DE COMUNICACIONES</v>
          </cell>
          <cell r="B7" t="str">
            <v>830,002,593</v>
          </cell>
          <cell r="C7" t="str">
            <v>Distrito Capital de Bogotá</v>
          </cell>
          <cell r="D7" t="str">
            <v>Bogotá</v>
          </cell>
          <cell r="E7" t="str">
            <v>Colombia, Bogotá,  Bogotá</v>
          </cell>
          <cell r="F7" t="str">
            <v>Nacional</v>
          </cell>
          <cell r="G7" t="str">
            <v>Tecnologías de la Información y las Comunicaciones</v>
          </cell>
          <cell r="H7" t="str">
            <v>Ejecutivo</v>
          </cell>
          <cell r="I7" t="str">
            <v>Centralizada</v>
          </cell>
          <cell r="J7" t="str">
            <v>CO1.BDOS.9302234</v>
          </cell>
          <cell r="K7" t="str">
            <v>CO1.PCCNTR.9322070</v>
          </cell>
          <cell r="L7" t="str">
            <v>CONTRATO 56 DE 2026</v>
          </cell>
          <cell r="M7" t="str">
            <v>En ejecución</v>
          </cell>
          <cell r="N7" t="str">
            <v>V1.80161501</v>
          </cell>
          <cell r="O7" t="str">
            <v>Prestación del servicio de vigilancia y control judicial de los procesos judiciales en los cuales la CRC sea parte o tercero; y que se estén adelantando en cualquiera de los despachos judiciales ubicados en el territorio nacional.</v>
          </cell>
          <cell r="P7" t="str">
            <v>Prestación de servicios</v>
          </cell>
          <cell r="Q7" t="str">
            <v>Mínima cuantía</v>
          </cell>
          <cell r="R7" t="str">
            <v>Presupuesto inferior al 10% de la menor cuantía</v>
          </cell>
          <cell r="S7" t="str">
            <v>02/04/2026</v>
          </cell>
          <cell r="T7" t="str">
            <v>02/06/2026</v>
          </cell>
          <cell r="U7" t="str">
            <v>12/15/2026</v>
          </cell>
          <cell r="V7" t="str">
            <v>No Definido</v>
          </cell>
          <cell r="W7" t="str">
            <v>NIT</v>
          </cell>
          <cell r="X7" t="str">
            <v>830070346</v>
          </cell>
          <cell r="Y7" t="str">
            <v>Litigar Punto Com S.A.S.</v>
          </cell>
          <cell r="Z7" t="str">
            <v>No</v>
          </cell>
          <cell r="AA7" t="str">
            <v>No</v>
          </cell>
          <cell r="AB7" t="str">
            <v>No</v>
          </cell>
          <cell r="AC7" t="str">
            <v>Si</v>
          </cell>
          <cell r="AD7" t="str">
            <v>No</v>
          </cell>
          <cell r="AE7" t="str">
            <v>No</v>
          </cell>
          <cell r="AF7" t="str">
            <v>No</v>
          </cell>
          <cell r="AG7" t="str">
            <v>Distribuido</v>
          </cell>
          <cell r="AH7" t="str">
            <v>Inversión</v>
          </cell>
          <cell r="AI7" t="str">
            <v>$4,598,997</v>
          </cell>
          <cell r="AJ7">
            <v>0</v>
          </cell>
          <cell r="AK7" t="str">
            <v>$3,431,000</v>
          </cell>
          <cell r="AL7" t="str">
            <v>$1,167,997</v>
          </cell>
          <cell r="AM7" t="str">
            <v>$3,431,000</v>
          </cell>
          <cell r="AN7">
            <v>0</v>
          </cell>
          <cell r="AO7">
            <v>0</v>
          </cell>
          <cell r="AP7" t="str">
            <v>$1,167,997</v>
          </cell>
          <cell r="AQ7" t="str">
            <v>$7,632,350</v>
          </cell>
          <cell r="AR7">
            <v>0</v>
          </cell>
          <cell r="AS7" t="str">
            <v>No</v>
          </cell>
          <cell r="AT7">
            <v>0</v>
          </cell>
          <cell r="AU7" t="str">
            <v>No aplica</v>
          </cell>
          <cell r="AV7" t="str">
            <v>No aplica</v>
          </cell>
          <cell r="AW7" t="str">
            <v>https://community.secop.gov.co/Public/Tendering/OpportunityDetail/Index?noticeUID=CO1.NTC.9528300&amp;isFromPublicArea=True&amp;isModal=true&amp;asPopupView=true</v>
          </cell>
          <cell r="AX7" t="str">
            <v>Litigar Punto Com S.A.S.</v>
          </cell>
          <cell r="AY7" t="str">
            <v>CO</v>
          </cell>
          <cell r="AZ7" t="str">
            <v>Av Cl 19 No. 6 68 piso 11</v>
          </cell>
          <cell r="BA7" t="str">
            <v>Sin Descripcion</v>
          </cell>
          <cell r="BB7" t="str">
            <v>Sin Descripcion</v>
          </cell>
          <cell r="BC7" t="str">
            <v>No Definido</v>
          </cell>
          <cell r="BD7" t="str">
            <v>$4,598,997</v>
          </cell>
          <cell r="BE7">
            <v>0</v>
          </cell>
          <cell r="BF7">
            <v>0</v>
          </cell>
          <cell r="BG7">
            <v>0</v>
          </cell>
          <cell r="BH7">
            <v>0</v>
          </cell>
          <cell r="BI7">
            <v>0</v>
          </cell>
          <cell r="BK7" t="str">
            <v>700,149,040</v>
          </cell>
          <cell r="BL7">
            <v>701667230</v>
          </cell>
          <cell r="BM7" t="str">
            <v>2026 Dec 16 12:00:00 AM</v>
          </cell>
          <cell r="BN7">
            <v>47577</v>
          </cell>
          <cell r="BO7" t="str">
            <v>Prestación del servicio de vigilancia y control judicial de los procesos judiciales en los cuales la CRC sea parte o tercero; y que se estén adelantando en cualquiera de los despachos judiciales ubicados en el territorio nacional.</v>
          </cell>
          <cell r="BP7" t="str">
            <v>315 Dia(s)</v>
          </cell>
          <cell r="BQ7" t="str">
            <v>No definido</v>
          </cell>
          <cell r="BR7" t="str">
            <v>No Definido</v>
          </cell>
          <cell r="BS7" t="str">
            <v>No definido</v>
          </cell>
          <cell r="BT7" t="str">
            <v>No</v>
          </cell>
          <cell r="BU7" t="str">
            <v/>
          </cell>
          <cell r="BV7" t="str">
            <v>No definido</v>
          </cell>
          <cell r="BW7" t="str">
            <v>No definido</v>
          </cell>
          <cell r="BX7" t="str">
            <v>No definido</v>
          </cell>
          <cell r="BY7" t="str">
            <v>Andrés Camilo Celeita Hernández</v>
          </cell>
          <cell r="BZ7" t="str">
            <v>Cédula de Ciudadanía</v>
          </cell>
          <cell r="CA7" t="str">
            <v>1010210143</v>
          </cell>
          <cell r="CB7" t="str">
            <v>DIANA WILCHES</v>
          </cell>
          <cell r="CC7" t="str">
            <v>Cédula de Ciudadanía</v>
          </cell>
          <cell r="CD7" t="str">
            <v>40049758</v>
          </cell>
          <cell r="CE7" t="str">
            <v>No</v>
          </cell>
          <cell r="CF7" t="str">
            <v>No definido</v>
          </cell>
          <cell r="CG7" t="str">
            <v>Calle 59 a Bis # 5 - 53 Piso 9 EDIFICIO LINK SIETE SESENTA
Bogotá
Distrito Capital de Bogotá
COLOMBIA</v>
          </cell>
          <cell r="CH7" t="str">
            <v>No definido</v>
          </cell>
          <cell r="CI7" t="str">
            <v>No definido</v>
          </cell>
          <cell r="CJ7" t="str">
            <v>No definido</v>
          </cell>
          <cell r="CK7" t="str">
            <v>No definido</v>
          </cell>
          <cell r="CL7" t="str">
            <v>No definido</v>
          </cell>
          <cell r="CM7" t="str">
            <v>No</v>
          </cell>
          <cell r="CN7" t="str">
            <v/>
          </cell>
          <cell r="CO7" t="str">
            <v/>
          </cell>
          <cell r="CP7" t="str">
            <v/>
          </cell>
          <cell r="CQ7" t="str">
            <v/>
          </cell>
        </row>
        <row r="8">
          <cell r="A8" t="str">
            <v>COMISIÓN DE REGULACIÓN DE COMUNICACIONES</v>
          </cell>
          <cell r="B8" t="str">
            <v>830,002,593</v>
          </cell>
          <cell r="C8" t="str">
            <v>Distrito Capital de Bogotá</v>
          </cell>
          <cell r="D8" t="str">
            <v>Bogotá</v>
          </cell>
          <cell r="E8" t="str">
            <v>Colombia, Bogotá,  Bogotá</v>
          </cell>
          <cell r="F8" t="str">
            <v>Nacional</v>
          </cell>
          <cell r="G8" t="str">
            <v>Tecnologías de la Información y las Comunicaciones</v>
          </cell>
          <cell r="H8" t="str">
            <v>Ejecutivo</v>
          </cell>
          <cell r="I8" t="str">
            <v>Centralizada</v>
          </cell>
          <cell r="J8" t="str">
            <v>CO1.BDOS.9296328</v>
          </cell>
          <cell r="K8" t="str">
            <v>CO1.PCCNTR.8858912</v>
          </cell>
          <cell r="L8" t="str">
            <v>CONTRATO 12 DE 2026</v>
          </cell>
          <cell r="M8" t="str">
            <v>En ejecución</v>
          </cell>
          <cell r="N8" t="str">
            <v>V1.77101500</v>
          </cell>
          <cell r="O8" t="str">
            <v>Prestar servicios profesionales para apoyar y asesorar las acciones relacionadas con la Gestión Ambiental de la CRC; incluyendo actividades de medición; seguimiento y evaluación de indicadores ambientales; así como acompañamiento en la actualización; implementación y gestión de la Política Ambiental</v>
          </cell>
          <cell r="P8" t="str">
            <v>Prestación de servicios</v>
          </cell>
          <cell r="Q8" t="str">
            <v>Contratación directa</v>
          </cell>
          <cell r="R8" t="str">
            <v>Servicios profesionales y apoyo a la gestión</v>
          </cell>
          <cell r="S8" t="str">
            <v>01/15/2026</v>
          </cell>
          <cell r="T8" t="str">
            <v>01/20/2026</v>
          </cell>
          <cell r="U8" t="str">
            <v>12/31/2026</v>
          </cell>
          <cell r="V8" t="str">
            <v>NXTWY.DLVY.6</v>
          </cell>
          <cell r="W8" t="str">
            <v>Cédula de Ciudadanía</v>
          </cell>
          <cell r="X8" t="str">
            <v>1053851255</v>
          </cell>
          <cell r="Y8" t="str">
            <v>NICOLAS MATEO GOMEZ BUSTAMANTE</v>
          </cell>
          <cell r="Z8" t="str">
            <v>No</v>
          </cell>
          <cell r="AA8" t="str">
            <v>No</v>
          </cell>
          <cell r="AB8" t="str">
            <v>No</v>
          </cell>
          <cell r="AC8" t="str">
            <v>No</v>
          </cell>
          <cell r="AD8" t="str">
            <v>Si</v>
          </cell>
          <cell r="AE8" t="str">
            <v>No</v>
          </cell>
          <cell r="AF8" t="str">
            <v>No</v>
          </cell>
          <cell r="AG8" t="str">
            <v>Distribuido</v>
          </cell>
          <cell r="AH8" t="str">
            <v>Funcionamiento</v>
          </cell>
          <cell r="AI8" t="str">
            <v>$62,778,500</v>
          </cell>
          <cell r="AJ8">
            <v>0</v>
          </cell>
          <cell r="AK8" t="str">
            <v>$45,673,633</v>
          </cell>
          <cell r="AL8" t="str">
            <v>$17,104,867</v>
          </cell>
          <cell r="AM8" t="str">
            <v>$45,673,633</v>
          </cell>
          <cell r="AN8">
            <v>0</v>
          </cell>
          <cell r="AO8">
            <v>0</v>
          </cell>
          <cell r="AP8" t="str">
            <v>$17,104,867</v>
          </cell>
          <cell r="AQ8" t="str">
            <v>$62,778,500</v>
          </cell>
          <cell r="AR8">
            <v>0</v>
          </cell>
          <cell r="AS8" t="str">
            <v>No</v>
          </cell>
          <cell r="AT8">
            <v>0</v>
          </cell>
          <cell r="AU8" t="str">
            <v>No aplica</v>
          </cell>
          <cell r="AV8" t="str">
            <v>No aplica</v>
          </cell>
          <cell r="AW8" t="str">
            <v>https://community.secop.gov.co/Public/Tendering/OpportunityDetail/Index?noticeUID=CO1.NTC.9489116&amp;isFromPublicArea=True&amp;isModal=true&amp;asPopupView=true</v>
          </cell>
          <cell r="AX8" t="str">
            <v>Nicolás Mateo Gómez Bustamante</v>
          </cell>
          <cell r="AY8" t="str">
            <v>CO</v>
          </cell>
          <cell r="AZ8" t="str">
            <v>No Definido</v>
          </cell>
          <cell r="BA8" t="str">
            <v>Cédula de Ciudadanía</v>
          </cell>
          <cell r="BB8" t="str">
            <v>1053851255</v>
          </cell>
          <cell r="BC8" t="str">
            <v>Hombre</v>
          </cell>
          <cell r="BD8" t="str">
            <v>$62,778,500</v>
          </cell>
          <cell r="BE8">
            <v>0</v>
          </cell>
          <cell r="BF8">
            <v>0</v>
          </cell>
          <cell r="BG8">
            <v>0</v>
          </cell>
          <cell r="BH8">
            <v>0</v>
          </cell>
          <cell r="BI8">
            <v>0</v>
          </cell>
          <cell r="BK8" t="str">
            <v>700,149,040</v>
          </cell>
          <cell r="BL8">
            <v>716100383</v>
          </cell>
          <cell r="BM8" t="str">
            <v/>
          </cell>
          <cell r="BO8" t="str">
            <v>Prestar servicios profesionales para apoyar y asesorar las acciones relacionadas con la Gestión Ambiental de la CRC; incluyendo actividades de medición; seguimiento y evaluación de indicadores ambientales; así como acompañamiento en la actualización; implementación y gestión de la Política Ambiental y los Objetivos Ambientales institucionales; en coherencia con los planes; programas y metas definidos por la entidad para el año 2026. El uso de recursos físicos o tecnológicos de la entidad para la</v>
          </cell>
          <cell r="BP8" t="str">
            <v>345 Dia(s)</v>
          </cell>
          <cell r="BQ8" t="str">
            <v>No definido</v>
          </cell>
          <cell r="BR8" t="str">
            <v>No Definido</v>
          </cell>
          <cell r="BS8" t="str">
            <v>No definido</v>
          </cell>
          <cell r="BT8" t="str">
            <v>No</v>
          </cell>
          <cell r="BU8" t="str">
            <v/>
          </cell>
          <cell r="BV8" t="str">
            <v>Zoila Consuelo Vargas Mesa</v>
          </cell>
          <cell r="BW8" t="str">
            <v>Cédula de Ciudadanía</v>
          </cell>
          <cell r="BX8" t="str">
            <v>46360403</v>
          </cell>
          <cell r="BY8" t="str">
            <v>DIANA WILCHES</v>
          </cell>
          <cell r="BZ8" t="str">
            <v>Cédula de Ciudadanía</v>
          </cell>
          <cell r="CA8" t="str">
            <v>40049758</v>
          </cell>
          <cell r="CB8" t="str">
            <v>No definido</v>
          </cell>
          <cell r="CC8" t="str">
            <v>No definido</v>
          </cell>
          <cell r="CD8" t="str">
            <v>No definido</v>
          </cell>
          <cell r="CE8" t="str">
            <v>No</v>
          </cell>
          <cell r="CF8" t="str">
            <v>No definido</v>
          </cell>
          <cell r="CG8" t="str">
            <v>Calle 59 a Bis # 5 - 53 Piso 9 EDIFICIO LINK SIETE SESENTA
Bogotá
Distrito Capital de Bogotá
COLOMBIA</v>
          </cell>
          <cell r="CH8" t="str">
            <v>No</v>
          </cell>
          <cell r="CI8" t="str">
            <v>No definido</v>
          </cell>
          <cell r="CJ8" t="str">
            <v>No definido</v>
          </cell>
          <cell r="CK8" t="str">
            <v>No definido</v>
          </cell>
          <cell r="CL8" t="str">
            <v>No definido</v>
          </cell>
          <cell r="CM8" t="str">
            <v>No</v>
          </cell>
          <cell r="CN8" t="str">
            <v/>
          </cell>
          <cell r="CO8" t="str">
            <v/>
          </cell>
          <cell r="CP8" t="str">
            <v/>
          </cell>
          <cell r="CQ8" t="str">
            <v/>
          </cell>
        </row>
        <row r="9">
          <cell r="A9" t="str">
            <v>COMISIÓN DE REGULACIÓN DE COMUNICACIONES</v>
          </cell>
          <cell r="B9" t="str">
            <v>830,002,593</v>
          </cell>
          <cell r="C9" t="str">
            <v>Distrito Capital de Bogotá</v>
          </cell>
          <cell r="D9" t="str">
            <v>Bogotá</v>
          </cell>
          <cell r="E9" t="str">
            <v>Colombia, Bogotá,  Bogotá</v>
          </cell>
          <cell r="F9" t="str">
            <v>Nacional</v>
          </cell>
          <cell r="G9" t="str">
            <v>Tecnologías de la Información y las Comunicaciones</v>
          </cell>
          <cell r="H9" t="str">
            <v>Ejecutivo</v>
          </cell>
          <cell r="I9" t="str">
            <v>Centralizada</v>
          </cell>
          <cell r="J9" t="str">
            <v>CO1.BDOS.9291712</v>
          </cell>
          <cell r="K9" t="str">
            <v>CO1.PCCNTR.8861522</v>
          </cell>
          <cell r="L9" t="str">
            <v>CONTRATO 32 DE 2026</v>
          </cell>
          <cell r="M9" t="str">
            <v>En ejecución</v>
          </cell>
          <cell r="N9" t="str">
            <v>V1.86101701</v>
          </cell>
          <cell r="O9" t="str">
            <v>prestar servicios profesionales para brindar apoyo en el diseño; ejecución y evaluación de estrategias orientadas al fortalecimiento de entornos audiovisuales seguros; la generación y difusión de herramientas de alfabetización mediática e informacional; el trabajo y articulación con operadores del s</v>
          </cell>
          <cell r="P9" t="str">
            <v>Prestación de servicios</v>
          </cell>
          <cell r="Q9" t="str">
            <v>Contratación directa</v>
          </cell>
          <cell r="R9" t="str">
            <v>Servicios profesionales y apoyo a la gestión</v>
          </cell>
          <cell r="S9" t="str">
            <v>01/14/2026</v>
          </cell>
          <cell r="T9" t="str">
            <v>01/16/2026</v>
          </cell>
          <cell r="U9" t="str">
            <v>12/31/2026</v>
          </cell>
          <cell r="V9" t="str">
            <v>NXTWY.DLVY.6</v>
          </cell>
          <cell r="W9" t="str">
            <v>Cédula de Ciudadanía</v>
          </cell>
          <cell r="X9" t="str">
            <v>79555310</v>
          </cell>
          <cell r="Y9" t="str">
            <v>Luis Carlos Urrutia Parra</v>
          </cell>
          <cell r="Z9" t="str">
            <v>No</v>
          </cell>
          <cell r="AA9" t="str">
            <v>No</v>
          </cell>
          <cell r="AB9" t="str">
            <v>No</v>
          </cell>
          <cell r="AC9" t="str">
            <v>No</v>
          </cell>
          <cell r="AD9" t="str">
            <v>No</v>
          </cell>
          <cell r="AE9" t="str">
            <v>No</v>
          </cell>
          <cell r="AF9" t="str">
            <v>No</v>
          </cell>
          <cell r="AG9" t="str">
            <v>Distribuido</v>
          </cell>
          <cell r="AH9" t="str">
            <v>Inversión</v>
          </cell>
          <cell r="AI9" t="str">
            <v>$159,999,500</v>
          </cell>
          <cell r="AJ9">
            <v>0</v>
          </cell>
          <cell r="AK9" t="str">
            <v>$118,260,500</v>
          </cell>
          <cell r="AL9" t="str">
            <v>$41,739,000</v>
          </cell>
          <cell r="AM9" t="str">
            <v>$118,260,500</v>
          </cell>
          <cell r="AN9">
            <v>0</v>
          </cell>
          <cell r="AO9">
            <v>0</v>
          </cell>
          <cell r="AP9" t="str">
            <v>$41,739,000</v>
          </cell>
          <cell r="AQ9" t="str">
            <v>$159,999,500</v>
          </cell>
          <cell r="AR9">
            <v>0</v>
          </cell>
          <cell r="AS9" t="str">
            <v>No</v>
          </cell>
          <cell r="AT9">
            <v>0</v>
          </cell>
          <cell r="AU9" t="str">
            <v>No aplica</v>
          </cell>
          <cell r="AV9" t="str">
            <v>No aplica</v>
          </cell>
          <cell r="AW9" t="str">
            <v>https://community.secop.gov.co/Public/Tendering/OpportunityDetail/Index?noticeUID=CO1.NTC.9487655&amp;isFromPublicArea=True&amp;isModal=true&amp;asPopupView=true</v>
          </cell>
          <cell r="AX9" t="str">
            <v>Luis Carlos Urrutia Parra</v>
          </cell>
          <cell r="AY9" t="str">
            <v>CO</v>
          </cell>
          <cell r="AZ9" t="str">
            <v>Cr 5 45-30 Bl 2 Ap 601</v>
          </cell>
          <cell r="BA9" t="str">
            <v>Cédula de Ciudadanía</v>
          </cell>
          <cell r="BB9" t="str">
            <v>79555310</v>
          </cell>
          <cell r="BC9" t="str">
            <v>No Definido</v>
          </cell>
          <cell r="BD9" t="str">
            <v>$159,999,500</v>
          </cell>
          <cell r="BE9">
            <v>0</v>
          </cell>
          <cell r="BF9">
            <v>0</v>
          </cell>
          <cell r="BG9">
            <v>0</v>
          </cell>
          <cell r="BH9">
            <v>0</v>
          </cell>
          <cell r="BI9">
            <v>0</v>
          </cell>
          <cell r="BK9" t="str">
            <v>700,149,040</v>
          </cell>
          <cell r="BL9">
            <v>701809246</v>
          </cell>
          <cell r="BM9" t="str">
            <v/>
          </cell>
          <cell r="BO9" t="str">
            <v>prestar servicios profesionales para brindar apoyo en el diseño; ejecución y evaluación de estrategias orientadas al fortalecimiento de entornos audiovisuales seguros; la generación y difusión de herramientas de alfabetización mediática e informacional; el trabajo y articulación con operadores del servicio de televisión y el pluralismo informativo; en el marco de los proyectos contemplados dentro de la agenda regulatoria y el plan de acción 2026</v>
          </cell>
          <cell r="BP9" t="str">
            <v>345 Dia(s)</v>
          </cell>
          <cell r="BQ9" t="str">
            <v>No definido</v>
          </cell>
          <cell r="BR9" t="str">
            <v>No Definido</v>
          </cell>
          <cell r="BS9" t="str">
            <v>No definido</v>
          </cell>
          <cell r="BT9" t="str">
            <v>No</v>
          </cell>
          <cell r="BU9" t="str">
            <v/>
          </cell>
          <cell r="BV9" t="str">
            <v>Zoila Consuelo Vargas Mesa</v>
          </cell>
          <cell r="BW9" t="str">
            <v>Cédula de Ciudadanía</v>
          </cell>
          <cell r="BX9" t="str">
            <v>46360403</v>
          </cell>
          <cell r="BY9" t="str">
            <v>Ricardo Ramirez Hernandez</v>
          </cell>
          <cell r="BZ9" t="str">
            <v>Cédula de Ciudadanía</v>
          </cell>
          <cell r="CA9" t="str">
            <v>79444533</v>
          </cell>
          <cell r="CB9" t="str">
            <v>No definido</v>
          </cell>
          <cell r="CC9" t="str">
            <v>No definido</v>
          </cell>
          <cell r="CD9" t="str">
            <v>No definido</v>
          </cell>
          <cell r="CE9" t="str">
            <v>No</v>
          </cell>
          <cell r="CF9" t="str">
            <v>No definido</v>
          </cell>
          <cell r="CG9" t="str">
            <v>Calle 59 a Bis # 5 - 53 Piso 9 EDIFICIO LINK SIETE SESENTA
Bogotá
Distrito Capital de Bogotá
COLOMBIA</v>
          </cell>
          <cell r="CH9" t="str">
            <v>No definido</v>
          </cell>
          <cell r="CI9" t="str">
            <v>No definido</v>
          </cell>
          <cell r="CJ9" t="str">
            <v>No definido</v>
          </cell>
          <cell r="CK9" t="str">
            <v>No definido</v>
          </cell>
          <cell r="CL9" t="str">
            <v>No definido</v>
          </cell>
          <cell r="CM9" t="str">
            <v>No</v>
          </cell>
          <cell r="CN9" t="str">
            <v/>
          </cell>
          <cell r="CO9" t="str">
            <v/>
          </cell>
          <cell r="CP9" t="str">
            <v/>
          </cell>
          <cell r="CQ9" t="str">
            <v/>
          </cell>
        </row>
        <row r="10">
          <cell r="A10" t="str">
            <v>COMISIÓN DE REGULACIÓN DE COMUNICACIONES</v>
          </cell>
          <cell r="B10" t="str">
            <v>830,002,593</v>
          </cell>
          <cell r="C10" t="str">
            <v>Distrito Capital de Bogotá</v>
          </cell>
          <cell r="D10" t="str">
            <v>Bogotá</v>
          </cell>
          <cell r="E10" t="str">
            <v>Colombia, Bogotá,  Bogotá</v>
          </cell>
          <cell r="F10" t="str">
            <v>Nacional</v>
          </cell>
          <cell r="G10" t="str">
            <v>Tecnologías de la Información y las Comunicaciones</v>
          </cell>
          <cell r="H10" t="str">
            <v>Ejecutivo</v>
          </cell>
          <cell r="I10" t="str">
            <v>Centralizada</v>
          </cell>
          <cell r="J10" t="str">
            <v>CO1.BDOS.9605807</v>
          </cell>
          <cell r="K10" t="str">
            <v>CO1.PCCNTR.9002384</v>
          </cell>
          <cell r="L10" t="str">
            <v>CONTRATO 53 DE 2026</v>
          </cell>
          <cell r="M10" t="str">
            <v>En ejecución</v>
          </cell>
          <cell r="N10" t="str">
            <v>V1.81111507</v>
          </cell>
          <cell r="O10" t="str">
            <v>EL CONTRATISTA se obliga con LA COMISIÓN a prestar sus servicios profesionales especializados 
como Ingeniero; brindando el apoyo en la gestión y acompañamiento técnico para la ejecución de las 
actividades relacionadas con el análisis de requerimientos; aseguramiento de la calidad de software y 
ge</v>
          </cell>
          <cell r="P10" t="str">
            <v>Prestación de servicios</v>
          </cell>
          <cell r="Q10" t="str">
            <v>Contratación directa</v>
          </cell>
          <cell r="R10" t="str">
            <v>Servicios profesionales y apoyo a la gestión</v>
          </cell>
          <cell r="S10" t="str">
            <v>01/20/2026</v>
          </cell>
          <cell r="T10" t="str">
            <v>02/02/2026</v>
          </cell>
          <cell r="U10" t="str">
            <v>12/31/2026</v>
          </cell>
          <cell r="V10" t="str">
            <v>NXTWY.DLVY.6</v>
          </cell>
          <cell r="W10" t="str">
            <v>Cédula de Ciudadanía</v>
          </cell>
          <cell r="X10" t="str">
            <v>1030570790</v>
          </cell>
          <cell r="Y10" t="str">
            <v>Hanson Garzón</v>
          </cell>
          <cell r="Z10" t="str">
            <v>No</v>
          </cell>
          <cell r="AA10" t="str">
            <v>No</v>
          </cell>
          <cell r="AB10" t="str">
            <v>No</v>
          </cell>
          <cell r="AC10" t="str">
            <v>No</v>
          </cell>
          <cell r="AD10" t="str">
            <v>No</v>
          </cell>
          <cell r="AE10" t="str">
            <v>No</v>
          </cell>
          <cell r="AF10" t="str">
            <v>No</v>
          </cell>
          <cell r="AG10" t="str">
            <v>Distribuido</v>
          </cell>
          <cell r="AH10" t="str">
            <v>Inversión</v>
          </cell>
          <cell r="AI10" t="str">
            <v>$99,000,000</v>
          </cell>
          <cell r="AJ10">
            <v>0</v>
          </cell>
          <cell r="AK10" t="str">
            <v>$71,700,000</v>
          </cell>
          <cell r="AL10" t="str">
            <v>$27,300,000</v>
          </cell>
          <cell r="AM10" t="str">
            <v>$71,700,000</v>
          </cell>
          <cell r="AN10">
            <v>0</v>
          </cell>
          <cell r="AO10">
            <v>0</v>
          </cell>
          <cell r="AP10" t="str">
            <v>$27,300,000</v>
          </cell>
          <cell r="AQ10" t="str">
            <v>$99,000,000</v>
          </cell>
          <cell r="AR10">
            <v>0</v>
          </cell>
          <cell r="AS10" t="str">
            <v>No</v>
          </cell>
          <cell r="AT10">
            <v>0</v>
          </cell>
          <cell r="AU10" t="str">
            <v>No aplica</v>
          </cell>
          <cell r="AV10" t="str">
            <v>No aplica</v>
          </cell>
          <cell r="AW10" t="str">
            <v>https://community.secop.gov.co/Public/Tendering/OpportunityDetail/Index?noticeUID=CO1.NTC.9635860&amp;isFromPublicArea=True&amp;isModal=true&amp;asPopupView=true</v>
          </cell>
          <cell r="AX10" t="str">
            <v>HANSON JAVIER GARZON RUIZ</v>
          </cell>
          <cell r="AY10" t="str">
            <v>CO</v>
          </cell>
          <cell r="AZ10" t="str">
            <v>CRA 50A # 174B - 67 INT 4 APTO 104</v>
          </cell>
          <cell r="BA10" t="str">
            <v>Sin Descripcion</v>
          </cell>
          <cell r="BB10" t="str">
            <v>Sin Descripcion</v>
          </cell>
          <cell r="BC10" t="str">
            <v>Hombre</v>
          </cell>
          <cell r="BD10" t="str">
            <v>$99,000,000</v>
          </cell>
          <cell r="BE10">
            <v>0</v>
          </cell>
          <cell r="BF10">
            <v>0</v>
          </cell>
          <cell r="BG10">
            <v>0</v>
          </cell>
          <cell r="BH10">
            <v>0</v>
          </cell>
          <cell r="BI10">
            <v>0</v>
          </cell>
          <cell r="BK10" t="str">
            <v>700,149,040</v>
          </cell>
          <cell r="BL10">
            <v>709196117</v>
          </cell>
          <cell r="BM10" t="str">
            <v/>
          </cell>
          <cell r="BO10" t="str">
            <v>EL CONTRATISTA se obliga con LA COMISIÓN a prestar sus servicios profesionales especializados 
como Ingeniero; brindando el apoyo en la gestión y acompañamiento técnico para la ejecución de las 
actividades relacionadas con el análisis de requerimientos; aseguramiento de la calidad de software y 
gestión de pruebas especializadas tanto funcionales y no funcionales de los proyectos de desarrollo 
tecnológico que hacen parte del Plan Estratégico de Tecnología (PETI) 2026 relacionados con la 
autom</v>
          </cell>
          <cell r="BP10" t="str">
            <v>11 Mes(es)</v>
          </cell>
          <cell r="BQ10" t="str">
            <v>No definido</v>
          </cell>
          <cell r="BR10" t="str">
            <v>No Definido</v>
          </cell>
          <cell r="BS10" t="str">
            <v>No definido</v>
          </cell>
          <cell r="BT10" t="str">
            <v>No</v>
          </cell>
          <cell r="BU10" t="str">
            <v/>
          </cell>
          <cell r="BV10" t="str">
            <v>No definido</v>
          </cell>
          <cell r="BW10" t="str">
            <v>No definido</v>
          </cell>
          <cell r="BX10" t="str">
            <v>No definido</v>
          </cell>
          <cell r="BY10" t="str">
            <v>INGRID PICON CARRASCAL</v>
          </cell>
          <cell r="BZ10" t="str">
            <v>Cédula de Ciudadanía</v>
          </cell>
          <cell r="CA10" t="str">
            <v>60372503</v>
          </cell>
          <cell r="CB10" t="str">
            <v>No definido</v>
          </cell>
          <cell r="CC10" t="str">
            <v>No definido</v>
          </cell>
          <cell r="CD10" t="str">
            <v>No definido</v>
          </cell>
          <cell r="CE10" t="str">
            <v>No</v>
          </cell>
          <cell r="CF10" t="str">
            <v>No definido</v>
          </cell>
          <cell r="CG10" t="str">
            <v>Calle 59 a Bis # 5 - 53 Piso 9 EDIFICIO LINK SIETE SESENTA
Bogotá
Distrito Capital de Bogotá
COLOMBIA</v>
          </cell>
          <cell r="CH10" t="str">
            <v>No definido</v>
          </cell>
          <cell r="CI10" t="str">
            <v>No definido</v>
          </cell>
          <cell r="CJ10" t="str">
            <v>No definido</v>
          </cell>
          <cell r="CK10" t="str">
            <v>No definido</v>
          </cell>
          <cell r="CL10" t="str">
            <v>No definido</v>
          </cell>
          <cell r="CM10" t="str">
            <v>No</v>
          </cell>
          <cell r="CN10" t="str">
            <v/>
          </cell>
          <cell r="CO10" t="str">
            <v/>
          </cell>
          <cell r="CP10" t="str">
            <v/>
          </cell>
          <cell r="CQ10" t="str">
            <v/>
          </cell>
        </row>
        <row r="11">
          <cell r="A11" t="str">
            <v>COMISIÓN DE REGULACIÓN DE COMUNICACIONES</v>
          </cell>
          <cell r="B11" t="str">
            <v>830,002,593</v>
          </cell>
          <cell r="C11" t="str">
            <v>Distrito Capital de Bogotá</v>
          </cell>
          <cell r="D11" t="str">
            <v>Bogotá</v>
          </cell>
          <cell r="E11" t="str">
            <v>Colombia, Bogotá,  Bogotá</v>
          </cell>
          <cell r="F11" t="str">
            <v>Nacional</v>
          </cell>
          <cell r="G11" t="str">
            <v>Tecnologías de la Información y las Comunicaciones</v>
          </cell>
          <cell r="H11" t="str">
            <v>Ejecutivo</v>
          </cell>
          <cell r="I11" t="str">
            <v>Centralizada</v>
          </cell>
          <cell r="J11" t="str">
            <v>CO1.BDOS.9331681</v>
          </cell>
          <cell r="K11" t="str">
            <v>CO1.PCCNTR.8855833</v>
          </cell>
          <cell r="L11" t="str">
            <v>CONTRATO 03 DE 2026</v>
          </cell>
          <cell r="M11" t="str">
            <v>En ejecución</v>
          </cell>
          <cell r="N11" t="str">
            <v>V1.81111500</v>
          </cell>
          <cell r="O11" t="str">
            <v>Brindar soporte técnico especializado para analizar solicitudes de homologación y emitir conceptos técnicos de viabilidad; en cumplimiento de las directrices establecidas en el Plan de Acción 2026 de la Comisión de Regulación de Comunicaciones; orientado a la homologación de equipos terminales móvil</v>
          </cell>
          <cell r="P11" t="str">
            <v>Prestación de servicios</v>
          </cell>
          <cell r="Q11" t="str">
            <v>Contratación directa</v>
          </cell>
          <cell r="R11" t="str">
            <v>Servicios profesionales y apoyo a la gestión</v>
          </cell>
          <cell r="S11" t="str">
            <v>01/14/2026</v>
          </cell>
          <cell r="T11" t="str">
            <v>01/16/2026</v>
          </cell>
          <cell r="U11" t="str">
            <v>12/31/2026</v>
          </cell>
          <cell r="V11" t="str">
            <v>NXTWY.DLVY.6</v>
          </cell>
          <cell r="W11" t="str">
            <v>Cédula de Ciudadanía</v>
          </cell>
          <cell r="X11" t="str">
            <v>1136885834</v>
          </cell>
          <cell r="Y11" t="str">
            <v>Javier Enrique Ovalle Burbano</v>
          </cell>
          <cell r="Z11" t="str">
            <v>No</v>
          </cell>
          <cell r="AA11" t="str">
            <v>No</v>
          </cell>
          <cell r="AB11" t="str">
            <v>No</v>
          </cell>
          <cell r="AC11" t="str">
            <v>No</v>
          </cell>
          <cell r="AD11" t="str">
            <v>No</v>
          </cell>
          <cell r="AE11" t="str">
            <v>No</v>
          </cell>
          <cell r="AF11" t="str">
            <v>No</v>
          </cell>
          <cell r="AG11" t="str">
            <v>Distribuido</v>
          </cell>
          <cell r="AH11" t="str">
            <v>Inversión</v>
          </cell>
          <cell r="AI11" t="str">
            <v>$43,103,587</v>
          </cell>
          <cell r="AJ11">
            <v>0</v>
          </cell>
          <cell r="AK11" t="str">
            <v>$31,859,173</v>
          </cell>
          <cell r="AL11" t="str">
            <v>$11,244,414</v>
          </cell>
          <cell r="AM11" t="str">
            <v>$31,859,173</v>
          </cell>
          <cell r="AN11">
            <v>0</v>
          </cell>
          <cell r="AO11">
            <v>0</v>
          </cell>
          <cell r="AP11" t="str">
            <v>$11,244,414</v>
          </cell>
          <cell r="AQ11" t="str">
            <v>$43,103,587</v>
          </cell>
          <cell r="AR11">
            <v>0</v>
          </cell>
          <cell r="AS11" t="str">
            <v>No</v>
          </cell>
          <cell r="AT11">
            <v>0</v>
          </cell>
          <cell r="AU11" t="str">
            <v>No aplica</v>
          </cell>
          <cell r="AV11" t="str">
            <v>No aplica</v>
          </cell>
          <cell r="AW11" t="str">
            <v>https://community.secop.gov.co/Public/Tendering/OpportunityDetail/Index?noticeUID=CO1.NTC.9485969&amp;isFromPublicArea=True&amp;isModal=true&amp;asPopupView=true</v>
          </cell>
          <cell r="AX11" t="str">
            <v>Javier Enrique Ovalle Burbano</v>
          </cell>
          <cell r="AY11" t="str">
            <v>CO</v>
          </cell>
          <cell r="AZ11" t="str">
            <v>carrera 101 # 82-57</v>
          </cell>
          <cell r="BA11" t="str">
            <v>Cédula de Ciudadanía</v>
          </cell>
          <cell r="BB11" t="str">
            <v>1136885834</v>
          </cell>
          <cell r="BC11" t="str">
            <v>Hombre</v>
          </cell>
          <cell r="BD11" t="str">
            <v>$43,103,587</v>
          </cell>
          <cell r="BE11">
            <v>0</v>
          </cell>
          <cell r="BF11">
            <v>0</v>
          </cell>
          <cell r="BG11">
            <v>0</v>
          </cell>
          <cell r="BH11">
            <v>0</v>
          </cell>
          <cell r="BI11">
            <v>0</v>
          </cell>
          <cell r="BK11" t="str">
            <v>700,149,040</v>
          </cell>
          <cell r="BL11">
            <v>724320536</v>
          </cell>
          <cell r="BM11" t="str">
            <v/>
          </cell>
          <cell r="BO11" t="str">
            <v>Brindar soporte técnico especializado para analizar solicitudes de homologación y emitir conceptos técnicos de viabilidad; en cumplimiento de las directrices establecidas en el Plan de Acción 2026 de la Comisión de Regulación de Comunicaciones; orientado a la homologación de equipos terminales móviles ETM.</v>
          </cell>
          <cell r="BP11" t="str">
            <v>345 Dia(s)</v>
          </cell>
          <cell r="BQ11" t="str">
            <v>No definido</v>
          </cell>
          <cell r="BR11" t="str">
            <v>No Definido</v>
          </cell>
          <cell r="BS11" t="str">
            <v>No definido</v>
          </cell>
          <cell r="BT11" t="str">
            <v>No</v>
          </cell>
          <cell r="BU11" t="str">
            <v/>
          </cell>
          <cell r="BV11" t="str">
            <v>DIANA WILCHES</v>
          </cell>
          <cell r="BW11" t="str">
            <v>Cédula de Ciudadanía</v>
          </cell>
          <cell r="BX11" t="str">
            <v>40049758</v>
          </cell>
          <cell r="BY11" t="str">
            <v>Mariana Sarmiento Arguello</v>
          </cell>
          <cell r="BZ11" t="str">
            <v>Cédula de Ciudadanía</v>
          </cell>
          <cell r="CA11" t="str">
            <v>52862292</v>
          </cell>
          <cell r="CB11" t="str">
            <v>DIANA WILCHES</v>
          </cell>
          <cell r="CC11" t="str">
            <v>Cédula de Ciudadanía</v>
          </cell>
          <cell r="CD11" t="str">
            <v>40049758</v>
          </cell>
          <cell r="CE11" t="str">
            <v>No</v>
          </cell>
          <cell r="CF11" t="str">
            <v>No definido</v>
          </cell>
          <cell r="CG11" t="str">
            <v>Calle 59 a Bis # 5 - 53 Piso 9 EDIFICIO LINK SIETE SESENTA
Bogotá
Distrito Capital de Bogotá
COLOMBIA</v>
          </cell>
          <cell r="CH11" t="str">
            <v>No definido</v>
          </cell>
          <cell r="CI11" t="str">
            <v>No definido</v>
          </cell>
          <cell r="CJ11" t="str">
            <v>No definido</v>
          </cell>
          <cell r="CK11" t="str">
            <v>No definido</v>
          </cell>
          <cell r="CL11" t="str">
            <v>No definido</v>
          </cell>
          <cell r="CM11" t="str">
            <v>No</v>
          </cell>
          <cell r="CN11" t="str">
            <v/>
          </cell>
          <cell r="CO11" t="str">
            <v/>
          </cell>
          <cell r="CP11" t="str">
            <v/>
          </cell>
          <cell r="CQ11" t="str">
            <v/>
          </cell>
        </row>
        <row r="12">
          <cell r="A12" t="str">
            <v>COMISIÓN DE REGULACIÓN DE COMUNICACIONES</v>
          </cell>
          <cell r="B12" t="str">
            <v>830,002,593</v>
          </cell>
          <cell r="C12" t="str">
            <v>Distrito Capital de Bogotá</v>
          </cell>
          <cell r="D12" t="str">
            <v>Bogotá</v>
          </cell>
          <cell r="E12" t="str">
            <v>Colombia, Bogotá,  Bogotá</v>
          </cell>
          <cell r="F12" t="str">
            <v>Nacional</v>
          </cell>
          <cell r="G12" t="str">
            <v>Tecnologías de la Información y las Comunicaciones</v>
          </cell>
          <cell r="H12" t="str">
            <v>Ejecutivo</v>
          </cell>
          <cell r="I12" t="str">
            <v>Centralizada</v>
          </cell>
          <cell r="J12" t="str">
            <v>CO1.BDOS.11008260</v>
          </cell>
          <cell r="K12" t="str">
            <v>CO1.PCCNTR.10071663</v>
          </cell>
          <cell r="L12" t="str">
            <v>CONTRATO 97 DE 2026</v>
          </cell>
          <cell r="M12" t="str">
            <v>Aprobado</v>
          </cell>
          <cell r="N12" t="str">
            <v>UNSPECIFIED</v>
          </cell>
          <cell r="O12" t="str">
            <v>Prestación de servicios profesionales para adelantar un proceso de capacitación y fortalecimiento de competencias para los funcionarios de la CRC; sobre redacción ciudadana en lenguaje claro y argumentación elocuente y deliberativa de los documentos de naturaleza jurídica; económica y técnica que em</v>
          </cell>
          <cell r="P12" t="str">
            <v>Prestación de servicios</v>
          </cell>
          <cell r="Q12" t="str">
            <v>Contratación directa</v>
          </cell>
          <cell r="R12" t="str">
            <v>Servicios profesionales y apoyo a la gestión</v>
          </cell>
          <cell r="S12" t="str">
            <v>10/15/2026</v>
          </cell>
          <cell r="T12" t="str">
            <v/>
          </cell>
          <cell r="U12" t="str">
            <v>12/15/2026</v>
          </cell>
          <cell r="V12" t="str">
            <v>NXTWY.DLVY.6</v>
          </cell>
          <cell r="W12" t="str">
            <v>Cédula de Ciudadanía</v>
          </cell>
          <cell r="X12" t="str">
            <v>79441767</v>
          </cell>
          <cell r="Y12" t="str">
            <v>Diego Eduardo López Medina</v>
          </cell>
          <cell r="Z12" t="str">
            <v>No</v>
          </cell>
          <cell r="AA12" t="str">
            <v>No</v>
          </cell>
          <cell r="AB12" t="str">
            <v>No</v>
          </cell>
          <cell r="AC12" t="str">
            <v>No</v>
          </cell>
          <cell r="AD12" t="str">
            <v>No</v>
          </cell>
          <cell r="AE12" t="str">
            <v>No</v>
          </cell>
          <cell r="AF12" t="str">
            <v>No</v>
          </cell>
          <cell r="AG12" t="str">
            <v>Distribuido</v>
          </cell>
          <cell r="AH12" t="str">
            <v>No Definido</v>
          </cell>
          <cell r="AI12" t="str">
            <v>$58,310,000</v>
          </cell>
          <cell r="AJ12">
            <v>0</v>
          </cell>
          <cell r="AK12" t="str">
            <v>$0</v>
          </cell>
          <cell r="AL12" t="str">
            <v>$0</v>
          </cell>
          <cell r="AM12" t="str">
            <v>$0</v>
          </cell>
          <cell r="AN12">
            <v>0</v>
          </cell>
          <cell r="AO12">
            <v>0</v>
          </cell>
          <cell r="AP12" t="str">
            <v>$58,310,000</v>
          </cell>
          <cell r="AQ12" t="str">
            <v>$0</v>
          </cell>
          <cell r="AR12">
            <v>0</v>
          </cell>
          <cell r="AS12" t="str">
            <v>No</v>
          </cell>
          <cell r="AT12">
            <v>0</v>
          </cell>
          <cell r="AU12" t="str">
            <v>No aplica</v>
          </cell>
          <cell r="AV12" t="str">
            <v>No aplica</v>
          </cell>
          <cell r="AW12" t="str">
            <v>https://community.secop.gov.co/Public/Tendering/OpportunityDetail/Index?noticeUID=CO1.NTC.11062959&amp;isFromPublicArea=True&amp;isModal=true&amp;asPopupView=true</v>
          </cell>
          <cell r="AX12" t="str">
            <v>Diego Eduardo López Medina</v>
          </cell>
          <cell r="AY12" t="str">
            <v>CO</v>
          </cell>
          <cell r="AZ12" t="str">
            <v>No Definido</v>
          </cell>
          <cell r="BA12" t="str">
            <v>Sin Descripcion</v>
          </cell>
          <cell r="BB12" t="str">
            <v>Sin Descripcion</v>
          </cell>
          <cell r="BC12" t="str">
            <v>No Definido</v>
          </cell>
          <cell r="BD12" t="str">
            <v>$0</v>
          </cell>
          <cell r="BE12">
            <v>0</v>
          </cell>
          <cell r="BF12">
            <v>0</v>
          </cell>
          <cell r="BG12">
            <v>0</v>
          </cell>
          <cell r="BH12">
            <v>0</v>
          </cell>
          <cell r="BI12">
            <v>0</v>
          </cell>
          <cell r="BK12" t="str">
            <v>700,149,040</v>
          </cell>
          <cell r="BL12">
            <v>710551201</v>
          </cell>
          <cell r="BM12" t="str">
            <v/>
          </cell>
          <cell r="BO12" t="str">
            <v>Prestación de servicios profesionales para adelantar un proceso de capacitación y fortalecimiento de competencias para los funcionarios de la CRC; sobre redacción ciudadana en lenguaje claro y argumentación elocuente y deliberativa de los documentos de naturaleza jurídica; económica y técnica que emite la Entidad.</v>
          </cell>
          <cell r="BP12" t="str">
            <v>2 Mes(es)</v>
          </cell>
          <cell r="BQ12" t="str">
            <v>No definido</v>
          </cell>
          <cell r="BR12" t="str">
            <v>No Definido</v>
          </cell>
          <cell r="BS12" t="str">
            <v>No definido</v>
          </cell>
          <cell r="BT12" t="str">
            <v>No</v>
          </cell>
          <cell r="BU12" t="str">
            <v/>
          </cell>
          <cell r="BV12" t="str">
            <v>No definido</v>
          </cell>
          <cell r="BW12" t="str">
            <v>No definido</v>
          </cell>
          <cell r="BX12" t="str">
            <v>No definido</v>
          </cell>
          <cell r="BY12" t="str">
            <v>DIANA WILCHES</v>
          </cell>
          <cell r="BZ12" t="str">
            <v>Cédula de Ciudadanía</v>
          </cell>
          <cell r="CA12" t="str">
            <v>40049758</v>
          </cell>
          <cell r="CB12" t="str">
            <v>Zoila Consuelo Vargas Mesa</v>
          </cell>
          <cell r="CC12" t="str">
            <v>Cédula de Ciudadanía</v>
          </cell>
          <cell r="CD12" t="str">
            <v>46360403</v>
          </cell>
          <cell r="CE12" t="str">
            <v>No</v>
          </cell>
          <cell r="CF12" t="str">
            <v>No definido</v>
          </cell>
          <cell r="CG12" t="str">
            <v>Calle 59 a Bis # 5 - 53 Piso 9 EDIFICIO LINK SIETE SESENTA
Bogotá
Distrito Capital de Bogotá
COLOMBIA</v>
          </cell>
          <cell r="CH12" t="str">
            <v>No definido</v>
          </cell>
          <cell r="CI12" t="str">
            <v>No definido</v>
          </cell>
          <cell r="CJ12" t="str">
            <v>No definido</v>
          </cell>
          <cell r="CK12" t="str">
            <v>No definido</v>
          </cell>
          <cell r="CL12" t="str">
            <v>No definido</v>
          </cell>
          <cell r="CM12" t="str">
            <v>No</v>
          </cell>
          <cell r="CN12" t="str">
            <v/>
          </cell>
          <cell r="CO12" t="str">
            <v/>
          </cell>
          <cell r="CP12" t="str">
            <v/>
          </cell>
          <cell r="CQ12" t="str">
            <v/>
          </cell>
        </row>
        <row r="13">
          <cell r="A13" t="str">
            <v>COMISIÓN DE REGULACIÓN DE COMUNICACIONES</v>
          </cell>
          <cell r="B13" t="str">
            <v>830,002,593</v>
          </cell>
          <cell r="C13" t="str">
            <v>Distrito Capital de Bogotá</v>
          </cell>
          <cell r="D13" t="str">
            <v>Bogotá</v>
          </cell>
          <cell r="E13" t="str">
            <v>Colombia, Bogotá,  Bogotá</v>
          </cell>
          <cell r="F13" t="str">
            <v>Nacional</v>
          </cell>
          <cell r="G13" t="str">
            <v>Tecnologías de la Información y las Comunicaciones</v>
          </cell>
          <cell r="H13" t="str">
            <v>Ejecutivo</v>
          </cell>
          <cell r="I13" t="str">
            <v>Centralizada</v>
          </cell>
          <cell r="J13" t="str">
            <v>CO1.BDOS.9289899</v>
          </cell>
          <cell r="K13" t="str">
            <v>CO1.PCCNTR.8857952</v>
          </cell>
          <cell r="L13" t="str">
            <v>CONTRATO 13 DE 2026</v>
          </cell>
          <cell r="M13" t="str">
            <v>En ejecución</v>
          </cell>
          <cell r="N13" t="str">
            <v>V1.80121607</v>
          </cell>
          <cell r="O13" t="str">
            <v>prestar servicios profesionales especializados en derecho tributario para apoyar y acompañar a la Comisión de Regulación de Comunicaciones (CRC) en el desarrollo de las actividades relacionadas con la Contribución a su favor; conforme a lo dispuesto en el artículo 24 de la Ley 1341 de 2009 y sus mod</v>
          </cell>
          <cell r="P13" t="str">
            <v>Prestación de servicios</v>
          </cell>
          <cell r="Q13" t="str">
            <v>Contratación directa</v>
          </cell>
          <cell r="R13" t="str">
            <v>Servicios profesionales y apoyo a la gestión</v>
          </cell>
          <cell r="S13" t="str">
            <v>01/14/2026</v>
          </cell>
          <cell r="T13" t="str">
            <v>01/16/2026</v>
          </cell>
          <cell r="U13" t="str">
            <v>12/31/2026</v>
          </cell>
          <cell r="V13" t="str">
            <v>NXTWY.DLVY.6</v>
          </cell>
          <cell r="W13" t="str">
            <v>Cédula de Ciudadanía</v>
          </cell>
          <cell r="X13" t="str">
            <v>79490451</v>
          </cell>
          <cell r="Y13" t="str">
            <v>FABIO EDUARDO VÁSQUEZ HENAO</v>
          </cell>
          <cell r="Z13" t="str">
            <v>No</v>
          </cell>
          <cell r="AA13" t="str">
            <v>No</v>
          </cell>
          <cell r="AB13" t="str">
            <v>No</v>
          </cell>
          <cell r="AC13" t="str">
            <v>No</v>
          </cell>
          <cell r="AD13" t="str">
            <v>No</v>
          </cell>
          <cell r="AE13" t="str">
            <v>No</v>
          </cell>
          <cell r="AF13" t="str">
            <v>No</v>
          </cell>
          <cell r="AG13" t="str">
            <v>Distribuido</v>
          </cell>
          <cell r="AH13" t="str">
            <v>Inversión</v>
          </cell>
          <cell r="AI13" t="str">
            <v>$250,674,470</v>
          </cell>
          <cell r="AJ13">
            <v>0</v>
          </cell>
          <cell r="AK13" t="str">
            <v>$185,281,128.13</v>
          </cell>
          <cell r="AL13" t="str">
            <v>$65,393,341.87</v>
          </cell>
          <cell r="AM13" t="str">
            <v>$185,281,128.13</v>
          </cell>
          <cell r="AN13">
            <v>0</v>
          </cell>
          <cell r="AO13">
            <v>0</v>
          </cell>
          <cell r="AP13" t="str">
            <v>$65,393,341.87</v>
          </cell>
          <cell r="AQ13" t="str">
            <v>$250,674,470</v>
          </cell>
          <cell r="AR13">
            <v>0</v>
          </cell>
          <cell r="AS13" t="str">
            <v>No</v>
          </cell>
          <cell r="AT13">
            <v>0</v>
          </cell>
          <cell r="AU13" t="str">
            <v>No aplica</v>
          </cell>
          <cell r="AV13" t="str">
            <v>No aplica</v>
          </cell>
          <cell r="AW13" t="str">
            <v>https://community.secop.gov.co/Public/Tendering/OpportunityDetail/Index?noticeUID=CO1.NTC.9487901&amp;isFromPublicArea=True&amp;isModal=true&amp;asPopupView=true</v>
          </cell>
          <cell r="AX13" t="str">
            <v>FABIO  EDUARDO  VÁSQUEZ HENAO</v>
          </cell>
          <cell r="AY13" t="str">
            <v>CO</v>
          </cell>
          <cell r="AZ13" t="str">
            <v>No Definido</v>
          </cell>
          <cell r="BA13" t="str">
            <v>Sin Descripcion</v>
          </cell>
          <cell r="BB13" t="str">
            <v>Sin Descripcion</v>
          </cell>
          <cell r="BC13" t="str">
            <v>No Definido</v>
          </cell>
          <cell r="BD13" t="str">
            <v>$250,674,470</v>
          </cell>
          <cell r="BE13">
            <v>0</v>
          </cell>
          <cell r="BF13">
            <v>0</v>
          </cell>
          <cell r="BG13">
            <v>0</v>
          </cell>
          <cell r="BH13">
            <v>0</v>
          </cell>
          <cell r="BI13">
            <v>0</v>
          </cell>
          <cell r="BK13" t="str">
            <v>700,149,040</v>
          </cell>
          <cell r="BL13">
            <v>703215079</v>
          </cell>
          <cell r="BM13" t="str">
            <v/>
          </cell>
          <cell r="BO13" t="str">
            <v>prestar servicios profesionales especializados en derecho tributario para apoyar y acompañar a la Comisión de Regulación de Comunicaciones (CRC) en el desarrollo de las actividades relacionadas con la Contribución a su favor; conforme a lo dispuesto en el artículo 24 de la Ley 1341 de 2009 y sus modificaciones. Estas actividades incluyen; entre otras; la atención de procesos de discusión administrativa; la aplicación del régimen sancionatorio; el adelanto de actuaciones de cobro coactivo(...)</v>
          </cell>
          <cell r="BP13" t="str">
            <v>345 Dia(s)</v>
          </cell>
          <cell r="BQ13" t="str">
            <v>No definido</v>
          </cell>
          <cell r="BR13" t="str">
            <v>No Definido</v>
          </cell>
          <cell r="BS13" t="str">
            <v>No definido</v>
          </cell>
          <cell r="BT13" t="str">
            <v>No</v>
          </cell>
          <cell r="BU13" t="str">
            <v/>
          </cell>
          <cell r="BV13" t="str">
            <v>Zoila Consuelo Vargas Mesa</v>
          </cell>
          <cell r="BW13" t="str">
            <v>Cédula de Ciudadanía</v>
          </cell>
          <cell r="BX13" t="str">
            <v>46360403</v>
          </cell>
          <cell r="BY13" t="str">
            <v>DIANA WILCHES</v>
          </cell>
          <cell r="BZ13" t="str">
            <v>Cédula de Ciudadanía</v>
          </cell>
          <cell r="CA13" t="str">
            <v>40049758</v>
          </cell>
          <cell r="CB13" t="str">
            <v>No definido</v>
          </cell>
          <cell r="CC13" t="str">
            <v>No definido</v>
          </cell>
          <cell r="CD13" t="str">
            <v>No definido</v>
          </cell>
          <cell r="CE13" t="str">
            <v>No</v>
          </cell>
          <cell r="CF13" t="str">
            <v>No definido</v>
          </cell>
          <cell r="CG13" t="str">
            <v>Calle 59 a Bis # 5 - 53 Piso 9 EDIFICIO LINK SIETE SESENTA
Bogotá
Distrito Capital de Bogotá
COLOMBIA</v>
          </cell>
          <cell r="CH13" t="str">
            <v>No definido</v>
          </cell>
          <cell r="CI13" t="str">
            <v>No definido</v>
          </cell>
          <cell r="CJ13" t="str">
            <v>No definido</v>
          </cell>
          <cell r="CK13" t="str">
            <v>No definido</v>
          </cell>
          <cell r="CL13" t="str">
            <v>No definido</v>
          </cell>
          <cell r="CM13" t="str">
            <v>No</v>
          </cell>
          <cell r="CN13" t="str">
            <v/>
          </cell>
          <cell r="CO13" t="str">
            <v/>
          </cell>
          <cell r="CP13" t="str">
            <v/>
          </cell>
          <cell r="CQ13" t="str">
            <v/>
          </cell>
        </row>
        <row r="14">
          <cell r="A14" t="str">
            <v>COMISIÓN DE REGULACIÓN DE COMUNICACIONES</v>
          </cell>
          <cell r="B14" t="str">
            <v>830,002,593</v>
          </cell>
          <cell r="C14" t="str">
            <v>Distrito Capital de Bogotá</v>
          </cell>
          <cell r="D14" t="str">
            <v>Bogotá</v>
          </cell>
          <cell r="E14" t="str">
            <v>Colombia, Bogotá,  Bogotá</v>
          </cell>
          <cell r="F14" t="str">
            <v>Nacional</v>
          </cell>
          <cell r="G14" t="str">
            <v>Tecnologías de la Información y las Comunicaciones</v>
          </cell>
          <cell r="H14" t="str">
            <v>Ejecutivo</v>
          </cell>
          <cell r="I14" t="str">
            <v>Centralizada</v>
          </cell>
          <cell r="J14" t="str">
            <v>CO1.BDOS.9321377</v>
          </cell>
          <cell r="K14" t="str">
            <v>CO1.PCCNTR.8895433</v>
          </cell>
          <cell r="L14" t="str">
            <v>CONTRATO 23 DE 2026</v>
          </cell>
          <cell r="M14" t="str">
            <v>En ejecución</v>
          </cell>
          <cell r="N14" t="str">
            <v>V1.80101505</v>
          </cell>
          <cell r="O14" t="str">
            <v>Prestación de servicios profesionales en materia de diseño e implementación de la política y la estrategia de gestión del conocimiento y la innovación alineada con MIPG; diseño y desarrollo de estrategias de pedagogía regulatoria y definición de acciones para adelantar actividades de investigación a</v>
          </cell>
          <cell r="P14" t="str">
            <v>Prestación de servicios</v>
          </cell>
          <cell r="Q14" t="str">
            <v>Contratación directa</v>
          </cell>
          <cell r="R14" t="str">
            <v>Servicios profesionales y apoyo a la gestión</v>
          </cell>
          <cell r="S14" t="str">
            <v>01/16/2026</v>
          </cell>
          <cell r="T14" t="str">
            <v>01/16/2026</v>
          </cell>
          <cell r="U14" t="str">
            <v>12/31/2026</v>
          </cell>
          <cell r="V14" t="str">
            <v>NXTWY.DLVY.6</v>
          </cell>
          <cell r="W14" t="str">
            <v>Cédula de Ciudadanía</v>
          </cell>
          <cell r="X14" t="str">
            <v>1000137216</v>
          </cell>
          <cell r="Y14" t="str">
            <v>Monica Tatiana Mojica Lizarazo</v>
          </cell>
          <cell r="Z14" t="str">
            <v>No</v>
          </cell>
          <cell r="AA14" t="str">
            <v>No</v>
          </cell>
          <cell r="AB14" t="str">
            <v>No</v>
          </cell>
          <cell r="AC14" t="str">
            <v>No</v>
          </cell>
          <cell r="AD14" t="str">
            <v>No</v>
          </cell>
          <cell r="AE14" t="str">
            <v>No</v>
          </cell>
          <cell r="AF14" t="str">
            <v>No</v>
          </cell>
          <cell r="AG14" t="str">
            <v>Distribuido</v>
          </cell>
          <cell r="AH14" t="str">
            <v>Inversión</v>
          </cell>
          <cell r="AI14" t="str">
            <v>$59,225,000</v>
          </cell>
          <cell r="AJ14">
            <v>0</v>
          </cell>
          <cell r="AK14" t="str">
            <v>$43,775,000</v>
          </cell>
          <cell r="AL14" t="str">
            <v>$15,450,000</v>
          </cell>
          <cell r="AM14" t="str">
            <v>$43,775,000</v>
          </cell>
          <cell r="AN14">
            <v>0</v>
          </cell>
          <cell r="AO14">
            <v>0</v>
          </cell>
          <cell r="AP14" t="str">
            <v>$15,450,000</v>
          </cell>
          <cell r="AQ14" t="str">
            <v>$59,225,000</v>
          </cell>
          <cell r="AR14">
            <v>0</v>
          </cell>
          <cell r="AS14" t="str">
            <v>No</v>
          </cell>
          <cell r="AT14">
            <v>0</v>
          </cell>
          <cell r="AU14" t="str">
            <v>No aplica</v>
          </cell>
          <cell r="AV14" t="str">
            <v>No aplica</v>
          </cell>
          <cell r="AW14" t="str">
            <v>https://community.secop.gov.co/Public/Tendering/OpportunityDetail/Index?noticeUID=CO1.NTC.9527648&amp;isFromPublicArea=True&amp;isModal=true&amp;asPopupView=true</v>
          </cell>
          <cell r="AX14" t="str">
            <v>Monica Tatiana Mojica Lizarazo</v>
          </cell>
          <cell r="AY14" t="str">
            <v>CO</v>
          </cell>
          <cell r="AZ14" t="str">
            <v>No Definido</v>
          </cell>
          <cell r="BA14" t="str">
            <v>Cédula de Ciudadanía</v>
          </cell>
          <cell r="BB14" t="str">
            <v>1000137216</v>
          </cell>
          <cell r="BC14" t="str">
            <v>Mujer</v>
          </cell>
          <cell r="BD14" t="str">
            <v>$59,225,000</v>
          </cell>
          <cell r="BE14">
            <v>0</v>
          </cell>
          <cell r="BF14">
            <v>0</v>
          </cell>
          <cell r="BG14">
            <v>0</v>
          </cell>
          <cell r="BH14">
            <v>0</v>
          </cell>
          <cell r="BI14">
            <v>0</v>
          </cell>
          <cell r="BK14" t="str">
            <v>700,149,040</v>
          </cell>
          <cell r="BL14">
            <v>723132767</v>
          </cell>
          <cell r="BM14" t="str">
            <v/>
          </cell>
          <cell r="BO14" t="str">
            <v>Prestación de servicios profesionales en materia de diseño e implementación de la política y la estrategia de gestión del conocimiento y la innovación alineada con MIPG; diseño y desarrollo de estrategias de pedagogía regulatoria y definición de acciones para adelantar actividades de investigación aplicada; de acuerdo con el Plan de Acción institucional para la vigencia 2026</v>
          </cell>
          <cell r="BP14" t="str">
            <v>345 Dia(s)</v>
          </cell>
          <cell r="BQ14" t="str">
            <v>No definido</v>
          </cell>
          <cell r="BR14" t="str">
            <v>No Definido</v>
          </cell>
          <cell r="BS14" t="str">
            <v>No definido</v>
          </cell>
          <cell r="BT14" t="str">
            <v>No</v>
          </cell>
          <cell r="BU14" t="str">
            <v/>
          </cell>
          <cell r="BV14" t="str">
            <v>No definido</v>
          </cell>
          <cell r="BW14" t="str">
            <v>No definido</v>
          </cell>
          <cell r="BX14" t="str">
            <v>No definido</v>
          </cell>
          <cell r="BY14" t="str">
            <v>No definido</v>
          </cell>
          <cell r="BZ14" t="str">
            <v>No definido</v>
          </cell>
          <cell r="CA14" t="str">
            <v>No definido</v>
          </cell>
          <cell r="CB14" t="str">
            <v>No definido</v>
          </cell>
          <cell r="CC14" t="str">
            <v>No definido</v>
          </cell>
          <cell r="CD14" t="str">
            <v>No definido</v>
          </cell>
          <cell r="CE14" t="str">
            <v>No</v>
          </cell>
          <cell r="CF14" t="str">
            <v>No definido</v>
          </cell>
          <cell r="CG14" t="str">
            <v>Calle 59 a Bis # 5 - 53 Piso 9 EDIFICIO LINK SIETE SESENTA
Bogotá
Distrito Capital de Bogotá
COLOMBIA</v>
          </cell>
          <cell r="CH14" t="str">
            <v>No definido</v>
          </cell>
          <cell r="CI14" t="str">
            <v>No definido</v>
          </cell>
          <cell r="CJ14" t="str">
            <v>No definido</v>
          </cell>
          <cell r="CK14" t="str">
            <v>No definido</v>
          </cell>
          <cell r="CL14" t="str">
            <v>No definido</v>
          </cell>
          <cell r="CM14" t="str">
            <v>No</v>
          </cell>
          <cell r="CN14" t="str">
            <v/>
          </cell>
          <cell r="CO14" t="str">
            <v/>
          </cell>
          <cell r="CP14" t="str">
            <v/>
          </cell>
          <cell r="CQ14" t="str">
            <v/>
          </cell>
        </row>
        <row r="15">
          <cell r="A15" t="str">
            <v>COMISIÓN DE REGULACIÓN DE COMUNICACIONES</v>
          </cell>
          <cell r="B15" t="str">
            <v>830,002,593</v>
          </cell>
          <cell r="C15" t="str">
            <v>Distrito Capital de Bogotá</v>
          </cell>
          <cell r="D15" t="str">
            <v>Bogotá</v>
          </cell>
          <cell r="E15" t="str">
            <v>Colombia, Bogotá,  Bogotá</v>
          </cell>
          <cell r="F15" t="str">
            <v>Nacional</v>
          </cell>
          <cell r="G15" t="str">
            <v>Tecnologías de la Información y las Comunicaciones</v>
          </cell>
          <cell r="H15" t="str">
            <v>Ejecutivo</v>
          </cell>
          <cell r="I15" t="str">
            <v>Centralizada</v>
          </cell>
          <cell r="J15" t="str">
            <v>CO1.BDOS.9995001</v>
          </cell>
          <cell r="K15" t="str">
            <v>CO1.PCCNTR.9382310</v>
          </cell>
          <cell r="L15" t="str">
            <v>CONTRATO 64 DE 2026</v>
          </cell>
          <cell r="M15" t="str">
            <v>En ejecución</v>
          </cell>
          <cell r="N15" t="str">
            <v>V1.81112006</v>
          </cell>
          <cell r="O15" t="str">
            <v>EL CONTRATISTA se obliga con LA COMISIÓN a prestar el servicio de monitoreo de noticias en medios de comunicación y redes sociales para la Comisión de Regulación de Comunicaciones; de conformidad con la Invitación Pública No. 64 de 2026 y la oferta presentada por el contratista que forman parte inte</v>
          </cell>
          <cell r="P15" t="str">
            <v>Prestación de servicios</v>
          </cell>
          <cell r="Q15" t="str">
            <v>Mínima cuantía</v>
          </cell>
          <cell r="R15" t="str">
            <v>Presupuesto inferior al 10% de la menor cuantía</v>
          </cell>
          <cell r="S15" t="str">
            <v>03/06/2026</v>
          </cell>
          <cell r="T15" t="str">
            <v>03/09/2026</v>
          </cell>
          <cell r="U15" t="str">
            <v>12/31/2026</v>
          </cell>
          <cell r="V15" t="str">
            <v>NXTWY.DLVY.6</v>
          </cell>
          <cell r="W15" t="str">
            <v>NIT</v>
          </cell>
          <cell r="X15" t="str">
            <v>830065445</v>
          </cell>
          <cell r="Y15" t="str">
            <v>Mass Medios</v>
          </cell>
          <cell r="Z15" t="str">
            <v>No</v>
          </cell>
          <cell r="AA15" t="str">
            <v>Si</v>
          </cell>
          <cell r="AB15" t="str">
            <v>No</v>
          </cell>
          <cell r="AC15" t="str">
            <v>Si</v>
          </cell>
          <cell r="AD15" t="str">
            <v>No</v>
          </cell>
          <cell r="AE15" t="str">
            <v>No</v>
          </cell>
          <cell r="AF15" t="str">
            <v>No</v>
          </cell>
          <cell r="AG15" t="str">
            <v>Distribuido</v>
          </cell>
          <cell r="AH15" t="str">
            <v>Funcionamiento</v>
          </cell>
          <cell r="AI15" t="str">
            <v>$23,684,570</v>
          </cell>
          <cell r="AJ15">
            <v>0</v>
          </cell>
          <cell r="AK15" t="str">
            <v>$13,579,153.47</v>
          </cell>
          <cell r="AL15" t="str">
            <v>$10,105,416.53</v>
          </cell>
          <cell r="AM15" t="str">
            <v>$13,579,153.47</v>
          </cell>
          <cell r="AN15">
            <v>0</v>
          </cell>
          <cell r="AO15">
            <v>0</v>
          </cell>
          <cell r="AP15" t="str">
            <v>$10,105,416.53</v>
          </cell>
          <cell r="AQ15" t="str">
            <v>$30,094,000</v>
          </cell>
          <cell r="AR15">
            <v>0</v>
          </cell>
          <cell r="AS15" t="str">
            <v>No</v>
          </cell>
          <cell r="AT15">
            <v>0</v>
          </cell>
          <cell r="AU15" t="str">
            <v>No aplica</v>
          </cell>
          <cell r="AV15" t="str">
            <v>No aplica</v>
          </cell>
          <cell r="AW15" t="str">
            <v>https://community.secop.gov.co/Public/Tendering/OpportunityDetail/Index?noticeUID=CO1.NTC.10021556&amp;isFromPublicArea=True&amp;isModal=true&amp;asPopupView=true</v>
          </cell>
          <cell r="AX15" t="str">
            <v>John Cuchigay</v>
          </cell>
          <cell r="AY15" t="str">
            <v>CO</v>
          </cell>
          <cell r="AZ15" t="str">
            <v>No Definido</v>
          </cell>
          <cell r="BA15" t="str">
            <v>Sin Descripcion</v>
          </cell>
          <cell r="BB15" t="str">
            <v>Sin Descripcion</v>
          </cell>
          <cell r="BC15" t="str">
            <v>Mujer</v>
          </cell>
          <cell r="BD15" t="str">
            <v>$23,684,570</v>
          </cell>
          <cell r="BE15">
            <v>0</v>
          </cell>
          <cell r="BF15">
            <v>0</v>
          </cell>
          <cell r="BG15">
            <v>0</v>
          </cell>
          <cell r="BH15">
            <v>0</v>
          </cell>
          <cell r="BI15">
            <v>0</v>
          </cell>
          <cell r="BK15" t="str">
            <v>700,149,040</v>
          </cell>
          <cell r="BL15">
            <v>710307620</v>
          </cell>
          <cell r="BM15" t="str">
            <v>2027 Jan 06 12:00:00 AM</v>
          </cell>
          <cell r="BN15">
            <v>47604</v>
          </cell>
          <cell r="BO15" t="str">
            <v>EL CONTRATISTA se obliga con LA COMISIÓN a prestar el servicio de monitoreo de noticias en medios de comunicación y redes sociales para la Comisión de Regulación de Comunicaciones; de conformidad con la Invitación Pública No. 64 de 2026 y la oferta presentada por el contratista que forman parte integral del presente contrato</v>
          </cell>
          <cell r="BP15" t="str">
            <v>10 Mes(es)</v>
          </cell>
          <cell r="BQ15" t="str">
            <v>No definido</v>
          </cell>
          <cell r="BR15" t="str">
            <v>No Definido</v>
          </cell>
          <cell r="BS15" t="str">
            <v>No definido</v>
          </cell>
          <cell r="BT15" t="str">
            <v>No</v>
          </cell>
          <cell r="BU15" t="str">
            <v/>
          </cell>
          <cell r="BV15" t="str">
            <v>No definido</v>
          </cell>
          <cell r="BW15" t="str">
            <v>No definido</v>
          </cell>
          <cell r="BX15" t="str">
            <v>No definido</v>
          </cell>
          <cell r="BY15" t="str">
            <v>Rocio Quinche Parrado</v>
          </cell>
          <cell r="BZ15" t="str">
            <v>Cédula de Ciudadanía</v>
          </cell>
          <cell r="CA15" t="str">
            <v>1032417388</v>
          </cell>
          <cell r="CB15" t="str">
            <v>DIANA WILCHES</v>
          </cell>
          <cell r="CC15" t="str">
            <v>Cédula de Ciudadanía</v>
          </cell>
          <cell r="CD15" t="str">
            <v>40049758</v>
          </cell>
          <cell r="CE15" t="str">
            <v>No</v>
          </cell>
          <cell r="CF15" t="str">
            <v>No definido</v>
          </cell>
          <cell r="CG15" t="str">
            <v>Calle 59 a Bis # 5 - 53 Piso 9 EDIFICIO LINK SIETE SESENTA
Bogotá
Distrito Capital de Bogotá
COLOMBIA</v>
          </cell>
          <cell r="CH15" t="str">
            <v>No definido</v>
          </cell>
          <cell r="CI15" t="str">
            <v>No definido</v>
          </cell>
          <cell r="CJ15" t="str">
            <v>No definido</v>
          </cell>
          <cell r="CK15" t="str">
            <v>No definido</v>
          </cell>
          <cell r="CL15" t="str">
            <v>No definido</v>
          </cell>
          <cell r="CM15" t="str">
            <v>No</v>
          </cell>
          <cell r="CN15" t="str">
            <v/>
          </cell>
          <cell r="CO15" t="str">
            <v/>
          </cell>
          <cell r="CP15" t="str">
            <v/>
          </cell>
          <cell r="CQ15" t="str">
            <v/>
          </cell>
        </row>
        <row r="16">
          <cell r="A16" t="str">
            <v>COMISIÓN DE REGULACIÓN DE COMUNICACIONES</v>
          </cell>
          <cell r="B16" t="str">
            <v>830,002,593</v>
          </cell>
          <cell r="C16" t="str">
            <v>Distrito Capital de Bogotá</v>
          </cell>
          <cell r="D16" t="str">
            <v>Bogotá</v>
          </cell>
          <cell r="E16" t="str">
            <v>Colombia, Bogotá,  Bogotá</v>
          </cell>
          <cell r="F16" t="str">
            <v>Nacional</v>
          </cell>
          <cell r="G16" t="str">
            <v>Tecnologías de la Información y las Comunicaciones</v>
          </cell>
          <cell r="H16" t="str">
            <v>Ejecutivo</v>
          </cell>
          <cell r="I16" t="str">
            <v>Centralizada</v>
          </cell>
          <cell r="J16" t="str">
            <v>CO1.BDOS.9291961</v>
          </cell>
          <cell r="K16" t="str">
            <v>CO1.PCCNTR.8862364</v>
          </cell>
          <cell r="L16" t="str">
            <v>CONTRATO 43 DE 2026</v>
          </cell>
          <cell r="M16" t="str">
            <v>En ejecución</v>
          </cell>
          <cell r="N16" t="str">
            <v>V1.80121704</v>
          </cell>
          <cell r="O16" t="str">
            <v>prestar servicios profesionales en derecho; con énfasis en derecho administrativo y contratación estatal; para ofrecer apoyo jurídico especializado a la CRC mediante la elaboración de conceptos; análisis normativos y acompañamiento técnico en los procesos precontractuales; contractuales y postcontra</v>
          </cell>
          <cell r="P16" t="str">
            <v>Prestación de servicios</v>
          </cell>
          <cell r="Q16" t="str">
            <v>Contratación directa</v>
          </cell>
          <cell r="R16" t="str">
            <v>Servicios profesionales y apoyo a la gestión</v>
          </cell>
          <cell r="S16" t="str">
            <v>01/14/2026</v>
          </cell>
          <cell r="T16" t="str">
            <v>01/15/2026</v>
          </cell>
          <cell r="U16" t="str">
            <v>12/31/2026</v>
          </cell>
          <cell r="V16" t="str">
            <v>NXTWY.DLVY.6</v>
          </cell>
          <cell r="W16" t="str">
            <v>NIT</v>
          </cell>
          <cell r="X16" t="str">
            <v>901278666</v>
          </cell>
          <cell r="Y16" t="str">
            <v>DUQUE B CONSULTORES SAS</v>
          </cell>
          <cell r="Z16" t="str">
            <v>No</v>
          </cell>
          <cell r="AA16" t="str">
            <v>Si</v>
          </cell>
          <cell r="AB16" t="str">
            <v>No</v>
          </cell>
          <cell r="AC16" t="str">
            <v>No</v>
          </cell>
          <cell r="AD16" t="str">
            <v>No</v>
          </cell>
          <cell r="AE16" t="str">
            <v>No</v>
          </cell>
          <cell r="AF16" t="str">
            <v>No</v>
          </cell>
          <cell r="AG16" t="str">
            <v>Distribuido</v>
          </cell>
          <cell r="AH16" t="str">
            <v>Inversión</v>
          </cell>
          <cell r="AI16" t="str">
            <v>$40,232,830</v>
          </cell>
          <cell r="AJ16">
            <v>0</v>
          </cell>
          <cell r="AK16" t="str">
            <v>$27,342,312</v>
          </cell>
          <cell r="AL16" t="str">
            <v>$12,890,518</v>
          </cell>
          <cell r="AM16" t="str">
            <v>$27,342,312</v>
          </cell>
          <cell r="AN16">
            <v>0</v>
          </cell>
          <cell r="AO16">
            <v>0</v>
          </cell>
          <cell r="AP16" t="str">
            <v>$12,890,518</v>
          </cell>
          <cell r="AQ16" t="str">
            <v>$40,232,830</v>
          </cell>
          <cell r="AR16">
            <v>0</v>
          </cell>
          <cell r="AS16" t="str">
            <v>No</v>
          </cell>
          <cell r="AT16">
            <v>0</v>
          </cell>
          <cell r="AU16" t="str">
            <v>No aplica</v>
          </cell>
          <cell r="AV16" t="str">
            <v>No aplica</v>
          </cell>
          <cell r="AW16" t="str">
            <v>https://community.secop.gov.co/Public/Tendering/OpportunityDetail/Index?noticeUID=CO1.NTC.9487338&amp;isFromPublicArea=True&amp;isModal=true&amp;asPopupView=true</v>
          </cell>
          <cell r="AX16" t="str">
            <v>JUAN DAVID DUQUE BOTERO</v>
          </cell>
          <cell r="AY16" t="str">
            <v>CO</v>
          </cell>
          <cell r="AZ16" t="str">
            <v>Av. Jiménez No. 4-49</v>
          </cell>
          <cell r="BA16" t="str">
            <v>Cédula de Ciudadanía</v>
          </cell>
          <cell r="BB16" t="str">
            <v>799417841</v>
          </cell>
          <cell r="BC16" t="str">
            <v>Otro</v>
          </cell>
          <cell r="BD16" t="str">
            <v>$40,232,830</v>
          </cell>
          <cell r="BE16">
            <v>0</v>
          </cell>
          <cell r="BF16">
            <v>0</v>
          </cell>
          <cell r="BG16">
            <v>0</v>
          </cell>
          <cell r="BH16">
            <v>0</v>
          </cell>
          <cell r="BI16">
            <v>0</v>
          </cell>
          <cell r="BK16" t="str">
            <v>700,149,040</v>
          </cell>
          <cell r="BL16">
            <v>706976289</v>
          </cell>
          <cell r="BM16" t="str">
            <v/>
          </cell>
          <cell r="BO16" t="str">
            <v>prestar servicios profesionales en derecho; con énfasis en derecho administrativo y contratación estatal; para ofrecer apoyo jurídico especializado a la CRC mediante la elaboración de conceptos; análisis normativos y acompañamiento técnico en los procesos precontractuales; contractuales y postcontractuales que adelante la Entidad. El servicio incluirá la revisión de asuntos jurídicos complejos y la formulación de recomendaciones que contribuyan a la adecuada gestión contractual (...)</v>
          </cell>
          <cell r="BP16" t="str">
            <v>345 Dia(s)</v>
          </cell>
          <cell r="BQ16" t="str">
            <v>No definido</v>
          </cell>
          <cell r="BR16" t="str">
            <v>No Definido</v>
          </cell>
          <cell r="BS16" t="str">
            <v>No definido</v>
          </cell>
          <cell r="BT16" t="str">
            <v>No</v>
          </cell>
          <cell r="BU16" t="str">
            <v/>
          </cell>
          <cell r="BV16" t="str">
            <v>DIANA WILCHES</v>
          </cell>
          <cell r="BW16" t="str">
            <v>Cédula de Ciudadanía</v>
          </cell>
          <cell r="BX16" t="str">
            <v>40049758</v>
          </cell>
          <cell r="BY16" t="str">
            <v>No definido</v>
          </cell>
          <cell r="BZ16" t="str">
            <v>No definido</v>
          </cell>
          <cell r="CA16" t="str">
            <v>No definido</v>
          </cell>
          <cell r="CB16" t="str">
            <v>No definido</v>
          </cell>
          <cell r="CC16" t="str">
            <v>No definido</v>
          </cell>
          <cell r="CD16" t="str">
            <v>No definido</v>
          </cell>
          <cell r="CE16" t="str">
            <v>No</v>
          </cell>
          <cell r="CF16" t="str">
            <v>No definido</v>
          </cell>
          <cell r="CG16" t="str">
            <v>Calle 59 a Bis # 5 - 53 Piso 9 EDIFICIO LINK SIETE SESENTA
Bogotá
Distrito Capital de Bogotá
COLOMBIA</v>
          </cell>
          <cell r="CH16" t="str">
            <v>No definido</v>
          </cell>
          <cell r="CI16" t="str">
            <v>No definido</v>
          </cell>
          <cell r="CJ16" t="str">
            <v>No definido</v>
          </cell>
          <cell r="CK16" t="str">
            <v>No definido</v>
          </cell>
          <cell r="CL16" t="str">
            <v>No definido</v>
          </cell>
          <cell r="CM16" t="str">
            <v>No</v>
          </cell>
          <cell r="CN16" t="str">
            <v/>
          </cell>
          <cell r="CO16" t="str">
            <v/>
          </cell>
          <cell r="CP16" t="str">
            <v/>
          </cell>
          <cell r="CQ16" t="str">
            <v/>
          </cell>
        </row>
        <row r="17">
          <cell r="A17" t="str">
            <v>COMISIÓN DE REGULACIÓN DE COMUNICACIONES</v>
          </cell>
          <cell r="B17" t="str">
            <v>830,002,593</v>
          </cell>
          <cell r="C17" t="str">
            <v>Distrito Capital de Bogotá</v>
          </cell>
          <cell r="D17" t="str">
            <v>Bogotá</v>
          </cell>
          <cell r="E17" t="str">
            <v>Colombia, Bogotá,  Bogotá</v>
          </cell>
          <cell r="F17" t="str">
            <v>Nacional</v>
          </cell>
          <cell r="G17" t="str">
            <v>Tecnologías de la Información y las Comunicaciones</v>
          </cell>
          <cell r="H17" t="str">
            <v>Ejecutivo</v>
          </cell>
          <cell r="I17" t="str">
            <v>Centralizada</v>
          </cell>
          <cell r="J17" t="str">
            <v>CO1.BDOS.9516218</v>
          </cell>
          <cell r="K17" t="str">
            <v>CO1.PCCNTR.8898683</v>
          </cell>
          <cell r="L17" t="str">
            <v>CONTRATO 17 DE 2026</v>
          </cell>
          <cell r="M17" t="str">
            <v>En ejecución</v>
          </cell>
          <cell r="N17" t="str">
            <v>V1.90121702</v>
          </cell>
          <cell r="O17" t="str">
            <v>Prestar servicios de interpretación en Lengua de Señas Colombiana durante el año 2026; los cuales incluirán la traducción de contenidos audiovisuales institucionales; la interpretación en espacios y actividades comunicacionales; así como en eventos oficiales organizados por la Comisión de Regulación</v>
          </cell>
          <cell r="P17" t="str">
            <v>Prestación de servicios</v>
          </cell>
          <cell r="Q17" t="str">
            <v>Contratación directa</v>
          </cell>
          <cell r="R17" t="str">
            <v>Servicios profesionales y apoyo a la gestión</v>
          </cell>
          <cell r="S17" t="str">
            <v>01/15/2026</v>
          </cell>
          <cell r="T17" t="str">
            <v>01/28/2026</v>
          </cell>
          <cell r="U17" t="str">
            <v>12/31/2026</v>
          </cell>
          <cell r="V17" t="str">
            <v>NXTWY.DLVY.6</v>
          </cell>
          <cell r="W17" t="str">
            <v>Cédula de Ciudadanía</v>
          </cell>
          <cell r="X17" t="str">
            <v>1022359012</v>
          </cell>
          <cell r="Y17" t="str">
            <v>Luis Carlos Cubillos Mellao</v>
          </cell>
          <cell r="Z17" t="str">
            <v>No</v>
          </cell>
          <cell r="AA17" t="str">
            <v>No</v>
          </cell>
          <cell r="AB17" t="str">
            <v>No</v>
          </cell>
          <cell r="AC17" t="str">
            <v>No</v>
          </cell>
          <cell r="AD17" t="str">
            <v>No</v>
          </cell>
          <cell r="AE17" t="str">
            <v>No</v>
          </cell>
          <cell r="AF17" t="str">
            <v>No</v>
          </cell>
          <cell r="AG17" t="str">
            <v>Distribuido</v>
          </cell>
          <cell r="AH17" t="str">
            <v>Inversión</v>
          </cell>
          <cell r="AI17" t="str">
            <v>$42,274,496</v>
          </cell>
          <cell r="AJ17">
            <v>0</v>
          </cell>
          <cell r="AK17" t="str">
            <v>$30,745,088</v>
          </cell>
          <cell r="AL17" t="str">
            <v>$11,529,408</v>
          </cell>
          <cell r="AM17" t="str">
            <v>$30,745,088</v>
          </cell>
          <cell r="AN17">
            <v>0</v>
          </cell>
          <cell r="AO17">
            <v>0</v>
          </cell>
          <cell r="AP17" t="str">
            <v>$11,529,408</v>
          </cell>
          <cell r="AQ17" t="str">
            <v>$42,274,496</v>
          </cell>
          <cell r="AR17">
            <v>0</v>
          </cell>
          <cell r="AS17" t="str">
            <v>No</v>
          </cell>
          <cell r="AT17">
            <v>0</v>
          </cell>
          <cell r="AU17" t="str">
            <v>No aplica</v>
          </cell>
          <cell r="AV17" t="str">
            <v>No aplica</v>
          </cell>
          <cell r="AW17" t="str">
            <v>https://community.secop.gov.co/Public/Tendering/OpportunityDetail/Index?noticeUID=CO1.NTC.9531296&amp;isFromPublicArea=True&amp;isModal=true&amp;asPopupView=true</v>
          </cell>
          <cell r="AX17" t="str">
            <v>Luis Carlos Cubillos Mellao</v>
          </cell>
          <cell r="AY17" t="str">
            <v>CO</v>
          </cell>
          <cell r="AZ17" t="str">
            <v>No Definido</v>
          </cell>
          <cell r="BA17" t="str">
            <v>Sin Descripcion</v>
          </cell>
          <cell r="BB17" t="str">
            <v>Sin Descripcion</v>
          </cell>
          <cell r="BC17" t="str">
            <v>No Definido</v>
          </cell>
          <cell r="BD17" t="str">
            <v>$42,274,496</v>
          </cell>
          <cell r="BE17">
            <v>0</v>
          </cell>
          <cell r="BF17">
            <v>0</v>
          </cell>
          <cell r="BG17">
            <v>0</v>
          </cell>
          <cell r="BH17">
            <v>0</v>
          </cell>
          <cell r="BI17">
            <v>0</v>
          </cell>
          <cell r="BK17" t="str">
            <v>700,149,040</v>
          </cell>
          <cell r="BL17">
            <v>704115286</v>
          </cell>
          <cell r="BM17" t="str">
            <v/>
          </cell>
          <cell r="BO17" t="str">
            <v>Prestar servicios de interpretación en Lengua de Señas Colombiana durante el año 2026; los cuales incluirán la traducción de contenidos audiovisuales institucionales; la interpretación en espacios y actividades comunicacionales; así como en eventos oficiales organizados por la Comisión de Regulación de Comunicaciones CRC</v>
          </cell>
          <cell r="BP17" t="str">
            <v>345 Dia(s)</v>
          </cell>
          <cell r="BQ17" t="str">
            <v>No definido</v>
          </cell>
          <cell r="BR17" t="str">
            <v>No Definido</v>
          </cell>
          <cell r="BS17" t="str">
            <v>No definido</v>
          </cell>
          <cell r="BT17" t="str">
            <v>No</v>
          </cell>
          <cell r="BU17" t="str">
            <v/>
          </cell>
          <cell r="BV17" t="str">
            <v>No definido</v>
          </cell>
          <cell r="BW17" t="str">
            <v>No definido</v>
          </cell>
          <cell r="BX17" t="str">
            <v>No definido</v>
          </cell>
          <cell r="BY17" t="str">
            <v>No definido</v>
          </cell>
          <cell r="BZ17" t="str">
            <v>No definido</v>
          </cell>
          <cell r="CA17" t="str">
            <v>No definido</v>
          </cell>
          <cell r="CB17" t="str">
            <v>No definido</v>
          </cell>
          <cell r="CC17" t="str">
            <v>No definido</v>
          </cell>
          <cell r="CD17" t="str">
            <v>No definido</v>
          </cell>
          <cell r="CE17" t="str">
            <v>No</v>
          </cell>
          <cell r="CF17" t="str">
            <v>No definido</v>
          </cell>
          <cell r="CG17" t="str">
            <v>Calle 59 a Bis # 5 - 53 Piso 9 EDIFICIO LINK SIETE SESENTA
Bogotá
Distrito Capital de Bogotá
COLOMBIA</v>
          </cell>
          <cell r="CH17" t="str">
            <v>No definido</v>
          </cell>
          <cell r="CI17" t="str">
            <v>No definido</v>
          </cell>
          <cell r="CJ17" t="str">
            <v>No definido</v>
          </cell>
          <cell r="CK17" t="str">
            <v>No definido</v>
          </cell>
          <cell r="CL17" t="str">
            <v>No definido</v>
          </cell>
          <cell r="CM17" t="str">
            <v>No</v>
          </cell>
          <cell r="CN17" t="str">
            <v/>
          </cell>
          <cell r="CO17" t="str">
            <v/>
          </cell>
          <cell r="CP17" t="str">
            <v/>
          </cell>
          <cell r="CQ17" t="str">
            <v/>
          </cell>
        </row>
        <row r="18">
          <cell r="A18" t="str">
            <v>COMISIÓN DE REGULACIÓN DE COMUNICACIONES</v>
          </cell>
          <cell r="B18" t="str">
            <v>830,002,593</v>
          </cell>
          <cell r="C18" t="str">
            <v>Distrito Capital de Bogotá</v>
          </cell>
          <cell r="D18" t="str">
            <v>Bogotá</v>
          </cell>
          <cell r="E18" t="str">
            <v>Colombia, Bogotá,  Bogotá</v>
          </cell>
          <cell r="F18" t="str">
            <v>Nacional</v>
          </cell>
          <cell r="G18" t="str">
            <v>Tecnologías de la Información y las Comunicaciones</v>
          </cell>
          <cell r="H18" t="str">
            <v>Ejecutivo</v>
          </cell>
          <cell r="I18" t="str">
            <v>Centralizada</v>
          </cell>
          <cell r="J18" t="str">
            <v>CO1.BDOS.9313117</v>
          </cell>
          <cell r="K18" t="str">
            <v>CO1.PCCNTR.8894736</v>
          </cell>
          <cell r="L18" t="str">
            <v>CONTRATO 44 DE 2026</v>
          </cell>
          <cell r="M18" t="str">
            <v>En ejecución</v>
          </cell>
          <cell r="N18" t="str">
            <v>V1.81131500</v>
          </cell>
          <cell r="O18" t="str">
            <v>EL CONTRATISTA se obliga con LA 
COMISIÓN a prestar sus servicios profesionales para apoyar el desarrollo y optimización de 
herramientas de analítica y visualización de datos; de acuerdo con lo previsto en la Agenda Regulatoria 
2026-2027 y el Plan de Acción de la CRC para el año 2026.</v>
          </cell>
          <cell r="P18" t="str">
            <v>Prestación de servicios</v>
          </cell>
          <cell r="Q18" t="str">
            <v>Contratación directa</v>
          </cell>
          <cell r="R18" t="str">
            <v>Servicios profesionales y apoyo a la gestión</v>
          </cell>
          <cell r="S18" t="str">
            <v>01/15/2026</v>
          </cell>
          <cell r="T18" t="str">
            <v>01/16/2026</v>
          </cell>
          <cell r="U18" t="str">
            <v>12/31/2026</v>
          </cell>
          <cell r="V18" t="str">
            <v>NXTWY.DLVY.6</v>
          </cell>
          <cell r="W18" t="str">
            <v>Cédula de Ciudadanía</v>
          </cell>
          <cell r="X18" t="str">
            <v>1233910198</v>
          </cell>
          <cell r="Y18" t="str">
            <v>Pedro Jose Leal Mesa</v>
          </cell>
          <cell r="Z18" t="str">
            <v>No</v>
          </cell>
          <cell r="AA18" t="str">
            <v>No</v>
          </cell>
          <cell r="AB18" t="str">
            <v>No</v>
          </cell>
          <cell r="AC18" t="str">
            <v>No</v>
          </cell>
          <cell r="AD18" t="str">
            <v>No</v>
          </cell>
          <cell r="AE18" t="str">
            <v>No</v>
          </cell>
          <cell r="AF18" t="str">
            <v>No</v>
          </cell>
          <cell r="AG18" t="str">
            <v>Distribuido</v>
          </cell>
          <cell r="AH18" t="str">
            <v>Inversión</v>
          </cell>
          <cell r="AI18" t="str">
            <v>$66,294,096</v>
          </cell>
          <cell r="AJ18">
            <v>0</v>
          </cell>
          <cell r="AK18" t="str">
            <v>$43,235,280</v>
          </cell>
          <cell r="AL18" t="str">
            <v>$23,058,816</v>
          </cell>
          <cell r="AM18" t="str">
            <v>$43,235,280</v>
          </cell>
          <cell r="AN18">
            <v>0</v>
          </cell>
          <cell r="AO18">
            <v>0</v>
          </cell>
          <cell r="AP18" t="str">
            <v>$23,058,816</v>
          </cell>
          <cell r="AQ18" t="str">
            <v>$66,294,096</v>
          </cell>
          <cell r="AR18">
            <v>0</v>
          </cell>
          <cell r="AS18" t="str">
            <v>No</v>
          </cell>
          <cell r="AT18">
            <v>0</v>
          </cell>
          <cell r="AU18" t="str">
            <v>No aplica</v>
          </cell>
          <cell r="AV18" t="str">
            <v>No aplica</v>
          </cell>
          <cell r="AW18" t="str">
            <v>https://community.secop.gov.co/Public/Tendering/OpportunityDetail/Index?noticeUID=CO1.NTC.9526987&amp;isFromPublicArea=True&amp;isModal=true&amp;asPopupView=true</v>
          </cell>
          <cell r="AX18" t="str">
            <v>Pedro Jose Leal Mesa</v>
          </cell>
          <cell r="AY18" t="str">
            <v>CO</v>
          </cell>
          <cell r="AZ18" t="str">
            <v>No Definido</v>
          </cell>
          <cell r="BA18" t="str">
            <v>Sin Descripcion</v>
          </cell>
          <cell r="BB18" t="str">
            <v>Sin Descripcion</v>
          </cell>
          <cell r="BC18" t="str">
            <v>Hombre</v>
          </cell>
          <cell r="BD18" t="str">
            <v>$66,294,096</v>
          </cell>
          <cell r="BE18">
            <v>0</v>
          </cell>
          <cell r="BF18">
            <v>0</v>
          </cell>
          <cell r="BG18">
            <v>0</v>
          </cell>
          <cell r="BH18">
            <v>0</v>
          </cell>
          <cell r="BI18">
            <v>0</v>
          </cell>
          <cell r="BK18" t="str">
            <v>700,149,040</v>
          </cell>
          <cell r="BL18">
            <v>723647707</v>
          </cell>
          <cell r="BM18" t="str">
            <v/>
          </cell>
          <cell r="BO18" t="str">
            <v>EL CONTRATISTA se obliga con LA 
COMISIÓN a prestar sus servicios profesionales para apoyar el desarrollo y optimización de 
herramientas de analítica y visualización de datos; de acuerdo con lo previsto en la Agenda Regulatoria 
2026-2027 y el Plan de Acción de la CRC para el año 2026.</v>
          </cell>
          <cell r="BP18" t="str">
            <v>11 Mes(es)</v>
          </cell>
          <cell r="BQ18" t="str">
            <v>No definido</v>
          </cell>
          <cell r="BR18" t="str">
            <v>No Definido</v>
          </cell>
          <cell r="BS18" t="str">
            <v>No definido</v>
          </cell>
          <cell r="BT18" t="str">
            <v>No</v>
          </cell>
          <cell r="BU18" t="str">
            <v/>
          </cell>
          <cell r="BV18" t="str">
            <v>No definido</v>
          </cell>
          <cell r="BW18" t="str">
            <v>No definido</v>
          </cell>
          <cell r="BX18" t="str">
            <v>No definido</v>
          </cell>
          <cell r="BY18" t="str">
            <v>Miguel Andrés Durán Dajud</v>
          </cell>
          <cell r="BZ18" t="str">
            <v>Cédula de Ciudadanía</v>
          </cell>
          <cell r="CA18" t="str">
            <v>92541020</v>
          </cell>
          <cell r="CB18" t="str">
            <v>No definido</v>
          </cell>
          <cell r="CC18" t="str">
            <v>No definido</v>
          </cell>
          <cell r="CD18" t="str">
            <v>No definido</v>
          </cell>
          <cell r="CE18" t="str">
            <v>No</v>
          </cell>
          <cell r="CF18" t="str">
            <v>No definido</v>
          </cell>
          <cell r="CG18" t="str">
            <v>Calle 59 a Bis # 5 - 53 Piso 9 EDIFICIO LINK SIETE SESENTA
Bogotá
Distrito Capital de Bogotá
COLOMBIA</v>
          </cell>
          <cell r="CH18" t="str">
            <v>No definido</v>
          </cell>
          <cell r="CI18" t="str">
            <v>No definido</v>
          </cell>
          <cell r="CJ18" t="str">
            <v>No definido</v>
          </cell>
          <cell r="CK18" t="str">
            <v>No definido</v>
          </cell>
          <cell r="CL18" t="str">
            <v>No definido</v>
          </cell>
          <cell r="CM18" t="str">
            <v>No</v>
          </cell>
          <cell r="CN18" t="str">
            <v/>
          </cell>
          <cell r="CO18" t="str">
            <v/>
          </cell>
          <cell r="CP18" t="str">
            <v/>
          </cell>
          <cell r="CQ18" t="str">
            <v/>
          </cell>
        </row>
        <row r="19">
          <cell r="A19" t="str">
            <v>COMISIÓN DE REGULACIÓN DE COMUNICACIONES</v>
          </cell>
          <cell r="B19" t="str">
            <v>830,002,593</v>
          </cell>
          <cell r="C19" t="str">
            <v>Distrito Capital de Bogotá</v>
          </cell>
          <cell r="D19" t="str">
            <v>Bogotá</v>
          </cell>
          <cell r="E19" t="str">
            <v>Colombia, Bogotá,  Bogotá</v>
          </cell>
          <cell r="F19" t="str">
            <v>Nacional</v>
          </cell>
          <cell r="G19" t="str">
            <v>Tecnologías de la Información y las Comunicaciones</v>
          </cell>
          <cell r="H19" t="str">
            <v>Ejecutivo</v>
          </cell>
          <cell r="I19" t="str">
            <v>Centralizada</v>
          </cell>
          <cell r="J19" t="str">
            <v>CO1.BDOS.9296319</v>
          </cell>
          <cell r="K19" t="str">
            <v>CO1.PCCNTR.8854893</v>
          </cell>
          <cell r="L19" t="str">
            <v>CONTRATO 11 DE 2026</v>
          </cell>
          <cell r="M19" t="str">
            <v>En ejecución</v>
          </cell>
          <cell r="N19" t="str">
            <v>V1.80111601</v>
          </cell>
          <cell r="O19" t="str">
            <v>Prestar apoyo a la Coordinación de Gestión Administrativa y Financiera en la ejecución eficiente de actividades operativas y logísticas relacionadas con el proceso de Gestión Documental de la CRC; con el propósito de fortalecer el cumplimiento oportuno de las funciones asignadas y atender otras nece</v>
          </cell>
          <cell r="P19" t="str">
            <v>Prestación de servicios</v>
          </cell>
          <cell r="Q19" t="str">
            <v>Contratación directa</v>
          </cell>
          <cell r="R19" t="str">
            <v>Servicios profesionales y apoyo a la gestión</v>
          </cell>
          <cell r="S19" t="str">
            <v>01/14/2026</v>
          </cell>
          <cell r="T19" t="str">
            <v>01/16/2026</v>
          </cell>
          <cell r="U19" t="str">
            <v>12/31/2026</v>
          </cell>
          <cell r="V19" t="str">
            <v>NXTWY.DLVY.6</v>
          </cell>
          <cell r="W19" t="str">
            <v>Cédula de Ciudadanía</v>
          </cell>
          <cell r="X19" t="str">
            <v>1033819555</v>
          </cell>
          <cell r="Y19" t="str">
            <v>LILIANA ROMERO SAAVEDRA</v>
          </cell>
          <cell r="Z19" t="str">
            <v>No</v>
          </cell>
          <cell r="AA19" t="str">
            <v>No</v>
          </cell>
          <cell r="AB19" t="str">
            <v>No</v>
          </cell>
          <cell r="AC19" t="str">
            <v>No</v>
          </cell>
          <cell r="AD19" t="str">
            <v>No</v>
          </cell>
          <cell r="AE19" t="str">
            <v>No</v>
          </cell>
          <cell r="AF19" t="str">
            <v>No</v>
          </cell>
          <cell r="AG19" t="str">
            <v>Distribuido</v>
          </cell>
          <cell r="AH19" t="str">
            <v>Funcionamiento</v>
          </cell>
          <cell r="AI19" t="str">
            <v>$43,501,913</v>
          </cell>
          <cell r="AJ19">
            <v>0</v>
          </cell>
          <cell r="AK19" t="str">
            <v>$32,153,587.5</v>
          </cell>
          <cell r="AL19" t="str">
            <v>$11,348,325.5</v>
          </cell>
          <cell r="AM19" t="str">
            <v>$32,153,587.5</v>
          </cell>
          <cell r="AN19">
            <v>0</v>
          </cell>
          <cell r="AO19">
            <v>0</v>
          </cell>
          <cell r="AP19" t="str">
            <v>$11,348,325.5</v>
          </cell>
          <cell r="AQ19" t="str">
            <v>$43,501,913</v>
          </cell>
          <cell r="AR19">
            <v>0</v>
          </cell>
          <cell r="AS19" t="str">
            <v>No</v>
          </cell>
          <cell r="AT19">
            <v>0</v>
          </cell>
          <cell r="AU19" t="str">
            <v>No aplica</v>
          </cell>
          <cell r="AV19" t="str">
            <v>No aplica</v>
          </cell>
          <cell r="AW19" t="str">
            <v>https://community.secop.gov.co/Public/Tendering/OpportunityDetail/Index?noticeUID=CO1.NTC.9485342&amp;isFromPublicArea=True&amp;isModal=true&amp;asPopupView=true</v>
          </cell>
          <cell r="AX19" t="str">
            <v>LILIANA ROMERO SAAVEDRA</v>
          </cell>
          <cell r="AY19" t="str">
            <v>CO</v>
          </cell>
          <cell r="AZ19" t="str">
            <v>No Definido</v>
          </cell>
          <cell r="BA19" t="str">
            <v>Cédula de Ciudadanía</v>
          </cell>
          <cell r="BB19" t="str">
            <v>1033819555</v>
          </cell>
          <cell r="BC19" t="str">
            <v>Mujer</v>
          </cell>
          <cell r="BD19" t="str">
            <v>$43,501,913</v>
          </cell>
          <cell r="BE19">
            <v>0</v>
          </cell>
          <cell r="BF19">
            <v>0</v>
          </cell>
          <cell r="BG19">
            <v>0</v>
          </cell>
          <cell r="BH19">
            <v>0</v>
          </cell>
          <cell r="BI19">
            <v>0</v>
          </cell>
          <cell r="BK19" t="str">
            <v>700,149,040</v>
          </cell>
          <cell r="BL19">
            <v>720556000</v>
          </cell>
          <cell r="BM19" t="str">
            <v/>
          </cell>
          <cell r="BO19" t="str">
            <v>Prestar apoyo a la Coordinación de Gestión Administrativa y Financiera en la ejecución eficiente de actividades operativas y logísticas relacionadas con el proceso de Gestión Documental de la CRC; con el propósito de fortalecer el cumplimiento oportuno de las funciones asignadas y atender otras necesidades que surjan en el marco de la Gestión documental de la entidad. El uso de recursos físicos o tecnológicos de la entidad para la ejecución del contrato será exclusivamente para facilitar el desa</v>
          </cell>
          <cell r="BP19" t="str">
            <v>345 Dia(s)</v>
          </cell>
          <cell r="BQ19" t="str">
            <v>No definido</v>
          </cell>
          <cell r="BR19" t="str">
            <v>No Definido</v>
          </cell>
          <cell r="BS19" t="str">
            <v>No definido</v>
          </cell>
          <cell r="BT19" t="str">
            <v>No</v>
          </cell>
          <cell r="BU19" t="str">
            <v/>
          </cell>
          <cell r="BV19" t="str">
            <v>DIANA WILCHES</v>
          </cell>
          <cell r="BW19" t="str">
            <v>Cédula de Ciudadanía</v>
          </cell>
          <cell r="BX19" t="str">
            <v>40049758</v>
          </cell>
          <cell r="BY19" t="str">
            <v>DIANA WILCHES</v>
          </cell>
          <cell r="BZ19" t="str">
            <v>Cédula de Ciudadanía</v>
          </cell>
          <cell r="CA19" t="str">
            <v>40049758</v>
          </cell>
          <cell r="CB19" t="str">
            <v>No definido</v>
          </cell>
          <cell r="CC19" t="str">
            <v>No definido</v>
          </cell>
          <cell r="CD19" t="str">
            <v>No definido</v>
          </cell>
          <cell r="CE19" t="str">
            <v>No</v>
          </cell>
          <cell r="CF19" t="str">
            <v>No definido</v>
          </cell>
          <cell r="CG19" t="str">
            <v>Calle 59 a Bis # 5 - 53 Piso 9 EDIFICIO LINK SIETE SESENTA
Bogotá
Distrito Capital de Bogotá
COLOMBIA</v>
          </cell>
          <cell r="CH19" t="str">
            <v>No definido</v>
          </cell>
          <cell r="CI19" t="str">
            <v>No definido</v>
          </cell>
          <cell r="CJ19" t="str">
            <v>No definido</v>
          </cell>
          <cell r="CK19" t="str">
            <v>No definido</v>
          </cell>
          <cell r="CL19" t="str">
            <v>No definido</v>
          </cell>
          <cell r="CM19" t="str">
            <v>No</v>
          </cell>
          <cell r="CN19" t="str">
            <v/>
          </cell>
          <cell r="CO19" t="str">
            <v/>
          </cell>
          <cell r="CP19" t="str">
            <v/>
          </cell>
          <cell r="CQ19" t="str">
            <v/>
          </cell>
        </row>
        <row r="20">
          <cell r="A20" t="str">
            <v>COMISIÓN DE REGULACIÓN DE COMUNICACIONES</v>
          </cell>
          <cell r="B20" t="str">
            <v>830,002,593</v>
          </cell>
          <cell r="C20" t="str">
            <v>Distrito Capital de Bogotá</v>
          </cell>
          <cell r="D20" t="str">
            <v>Bogotá</v>
          </cell>
          <cell r="E20" t="str">
            <v>Colombia, Bogotá,  Bogotá</v>
          </cell>
          <cell r="F20" t="str">
            <v>Nacional</v>
          </cell>
          <cell r="G20" t="str">
            <v>Tecnologías de la Información y las Comunicaciones</v>
          </cell>
          <cell r="H20" t="str">
            <v>Ejecutivo</v>
          </cell>
          <cell r="I20" t="str">
            <v>Centralizada</v>
          </cell>
          <cell r="J20" t="str">
            <v>CO1.BDOS.9284250</v>
          </cell>
          <cell r="K20" t="str">
            <v>CO1.PCCNTR.8859119</v>
          </cell>
          <cell r="L20" t="str">
            <v>CONTRATO 20 DE 2026</v>
          </cell>
          <cell r="M20" t="str">
            <v>En ejecución</v>
          </cell>
          <cell r="N20" t="str">
            <v>V1.80121601</v>
          </cell>
          <cell r="O20" t="str">
            <v>Prestar servicios de asesoría estratégica; jurídica y regulatoria para fortalecer la gestión institucional de la CRC en asuntos de relacionamiento y seguimiento misional; mediante un acompañamiento jurídico especializado que apoye a la Coordinación de Relaciones con Grupos de Valor en el monitoreo;</v>
          </cell>
          <cell r="P20" t="str">
            <v>Prestación de servicios</v>
          </cell>
          <cell r="Q20" t="str">
            <v>Contratación directa</v>
          </cell>
          <cell r="R20" t="str">
            <v>Servicios profesionales y apoyo a la gestión</v>
          </cell>
          <cell r="S20" t="str">
            <v>01/14/2026</v>
          </cell>
          <cell r="T20" t="str">
            <v>01/19/2026</v>
          </cell>
          <cell r="U20" t="str">
            <v>12/18/2026</v>
          </cell>
          <cell r="V20" t="str">
            <v>No Definido</v>
          </cell>
          <cell r="W20" t="str">
            <v>NIT</v>
          </cell>
          <cell r="X20" t="str">
            <v>901658126</v>
          </cell>
          <cell r="Y20" t="str">
            <v>ESTRATEGIAS Y ASESORIAS REGULATORIAS SAS</v>
          </cell>
          <cell r="Z20" t="str">
            <v>No</v>
          </cell>
          <cell r="AA20" t="str">
            <v>No</v>
          </cell>
          <cell r="AB20" t="str">
            <v>No</v>
          </cell>
          <cell r="AC20" t="str">
            <v>No</v>
          </cell>
          <cell r="AD20" t="str">
            <v>No</v>
          </cell>
          <cell r="AE20" t="str">
            <v>No</v>
          </cell>
          <cell r="AF20" t="str">
            <v>No</v>
          </cell>
          <cell r="AG20" t="str">
            <v>Distribuido</v>
          </cell>
          <cell r="AH20" t="str">
            <v>Inversión</v>
          </cell>
          <cell r="AI20" t="str">
            <v>$218,866,593</v>
          </cell>
          <cell r="AJ20">
            <v>0</v>
          </cell>
          <cell r="AK20" t="str">
            <v>$159,175,704</v>
          </cell>
          <cell r="AL20" t="str">
            <v>$59,690,889</v>
          </cell>
          <cell r="AM20" t="str">
            <v>$159,175,704</v>
          </cell>
          <cell r="AN20">
            <v>0</v>
          </cell>
          <cell r="AO20">
            <v>0</v>
          </cell>
          <cell r="AP20" t="str">
            <v>$59,690,889</v>
          </cell>
          <cell r="AQ20" t="str">
            <v>$218,866,593</v>
          </cell>
          <cell r="AR20">
            <v>0</v>
          </cell>
          <cell r="AS20" t="str">
            <v>No</v>
          </cell>
          <cell r="AT20">
            <v>0</v>
          </cell>
          <cell r="AU20" t="str">
            <v>No aplica</v>
          </cell>
          <cell r="AV20" t="str">
            <v>No aplica</v>
          </cell>
          <cell r="AW20" t="str">
            <v>https://community.secop.gov.co/Public/Tendering/OpportunityDetail/Index?noticeUID=CO1.NTC.9489580&amp;isFromPublicArea=True&amp;isModal=true&amp;asPopupView=true</v>
          </cell>
          <cell r="AX20" t="str">
            <v>ESTRATEGIAS Y ASESORIAS REGULATORIAS SAS ESTRATEGIAS Y ASESORIAS REGULATORIAS SA</v>
          </cell>
          <cell r="AY20" t="str">
            <v>CO</v>
          </cell>
          <cell r="AZ20" t="str">
            <v>No Definido</v>
          </cell>
          <cell r="BA20" t="str">
            <v>Sin Descripcion</v>
          </cell>
          <cell r="BB20" t="str">
            <v>Sin Descripcion</v>
          </cell>
          <cell r="BC20" t="str">
            <v>Hombre</v>
          </cell>
          <cell r="BD20" t="str">
            <v>$218,866,593</v>
          </cell>
          <cell r="BE20">
            <v>0</v>
          </cell>
          <cell r="BF20">
            <v>0</v>
          </cell>
          <cell r="BG20">
            <v>0</v>
          </cell>
          <cell r="BH20">
            <v>0</v>
          </cell>
          <cell r="BI20">
            <v>0</v>
          </cell>
          <cell r="BK20" t="str">
            <v>700,149,040</v>
          </cell>
          <cell r="BL20">
            <v>720793843</v>
          </cell>
          <cell r="BM20" t="str">
            <v/>
          </cell>
          <cell r="BO20" t="str">
            <v>Prestar servicios de asesoría estratégica; jurídica y regulatoria para fortalecer la gestión institucional de la CRC en asuntos de relacionamiento y seguimiento misional; mediante un acompañamiento jurídico especializado que apoye a la Coordinación de Relaciones con Grupos de Valor en el monitoreo; análisis y gestión de iniciativas legislativas en el Congreso que impactan las competencias de la Entidad en los sectores de comunicaciones; postal y contenidos audiovisuales.</v>
          </cell>
          <cell r="BP20" t="str">
            <v>11 Mes(es)</v>
          </cell>
          <cell r="BQ20" t="str">
            <v>No definido</v>
          </cell>
          <cell r="BR20" t="str">
            <v>No Definido</v>
          </cell>
          <cell r="BS20" t="str">
            <v>No definido</v>
          </cell>
          <cell r="BT20" t="str">
            <v>No</v>
          </cell>
          <cell r="BU20" t="str">
            <v/>
          </cell>
          <cell r="BV20" t="str">
            <v>Zoila Consuelo Vargas Mesa</v>
          </cell>
          <cell r="BW20" t="str">
            <v>Cédula de Ciudadanía</v>
          </cell>
          <cell r="BX20" t="str">
            <v>46360403</v>
          </cell>
          <cell r="BY20" t="str">
            <v>Mariana Sarmiento Arguello</v>
          </cell>
          <cell r="BZ20" t="str">
            <v>Cédula de Ciudadanía</v>
          </cell>
          <cell r="CA20" t="str">
            <v>52862292</v>
          </cell>
          <cell r="CB20" t="str">
            <v>Zoila Consuelo Vargas Mesa</v>
          </cell>
          <cell r="CC20" t="str">
            <v>Cédula de Ciudadanía</v>
          </cell>
          <cell r="CD20" t="str">
            <v>46360403</v>
          </cell>
          <cell r="CE20" t="str">
            <v>No</v>
          </cell>
          <cell r="CF20" t="str">
            <v>No definido</v>
          </cell>
          <cell r="CG20" t="str">
            <v>Calle 59 a Bis # 5 - 53 Piso 9 EDIFICIO LINK SIETE SESENTA
Bogotá
Distrito Capital de Bogotá
COLOMBIA</v>
          </cell>
          <cell r="CH20" t="str">
            <v>No definido</v>
          </cell>
          <cell r="CI20" t="str">
            <v>No definido</v>
          </cell>
          <cell r="CJ20" t="str">
            <v>No definido</v>
          </cell>
          <cell r="CK20" t="str">
            <v>No definido</v>
          </cell>
          <cell r="CL20" t="str">
            <v>No definido</v>
          </cell>
          <cell r="CM20" t="str">
            <v>No</v>
          </cell>
          <cell r="CN20" t="str">
            <v/>
          </cell>
          <cell r="CO20" t="str">
            <v/>
          </cell>
          <cell r="CP20" t="str">
            <v/>
          </cell>
          <cell r="CQ20" t="str">
            <v/>
          </cell>
        </row>
        <row r="21">
          <cell r="A21" t="str">
            <v>COMISIÓN DE REGULACIÓN DE COMUNICACIONES</v>
          </cell>
          <cell r="B21" t="str">
            <v>830,002,593</v>
          </cell>
          <cell r="C21" t="str">
            <v>Distrito Capital de Bogotá</v>
          </cell>
          <cell r="D21" t="str">
            <v>Bogotá</v>
          </cell>
          <cell r="E21" t="str">
            <v>Colombia, Bogotá,  Bogotá</v>
          </cell>
          <cell r="F21" t="str">
            <v>Nacional</v>
          </cell>
          <cell r="G21" t="str">
            <v>Tecnologías de la Información y las Comunicaciones</v>
          </cell>
          <cell r="H21" t="str">
            <v>Ejecutivo</v>
          </cell>
          <cell r="I21" t="str">
            <v>Centralizada</v>
          </cell>
          <cell r="J21" t="str">
            <v>CO1.BDOS.9272515</v>
          </cell>
          <cell r="K21" t="str">
            <v>CO1.PCCNTR.8855999</v>
          </cell>
          <cell r="L21" t="str">
            <v>CONTRATO 04 DE 2026</v>
          </cell>
          <cell r="M21" t="str">
            <v>En ejecución</v>
          </cell>
          <cell r="N21" t="str">
            <v>V1.83121703</v>
          </cell>
          <cell r="O21" t="str">
            <v>Prestar apoyo profesional especializado en la implementación; ejecución; seguimiento y optimización de la Estrategia de Comunicaciones 2026; mediante la gestión integral de redes sociales y demás canales digitales institucionales; la planificación y producción de contenidos creativos; accesibles y e</v>
          </cell>
          <cell r="P21" t="str">
            <v>Prestación de servicios</v>
          </cell>
          <cell r="Q21" t="str">
            <v>Contratación directa</v>
          </cell>
          <cell r="R21" t="str">
            <v>Servicios profesionales y apoyo a la gestión</v>
          </cell>
          <cell r="S21" t="str">
            <v>01/14/2026</v>
          </cell>
          <cell r="T21" t="str">
            <v>01/16/2026</v>
          </cell>
          <cell r="U21" t="str">
            <v>12/31/2026</v>
          </cell>
          <cell r="V21" t="str">
            <v>NXTWY.DLVY.6</v>
          </cell>
          <cell r="W21" t="str">
            <v>Cédula de Ciudadanía</v>
          </cell>
          <cell r="X21" t="str">
            <v>1014182808</v>
          </cell>
          <cell r="Y21" t="str">
            <v>JUAN CAMILO PEÑA VERGARA</v>
          </cell>
          <cell r="Z21" t="str">
            <v>No</v>
          </cell>
          <cell r="AA21" t="str">
            <v>No</v>
          </cell>
          <cell r="AB21" t="str">
            <v>No</v>
          </cell>
          <cell r="AC21" t="str">
            <v>No</v>
          </cell>
          <cell r="AD21" t="str">
            <v>No</v>
          </cell>
          <cell r="AE21" t="str">
            <v>No</v>
          </cell>
          <cell r="AF21" t="str">
            <v>No</v>
          </cell>
          <cell r="AG21" t="str">
            <v>Distribuido</v>
          </cell>
          <cell r="AH21" t="str">
            <v>Inversión</v>
          </cell>
          <cell r="AI21" t="str">
            <v>$132,809,947</v>
          </cell>
          <cell r="AJ21">
            <v>0</v>
          </cell>
          <cell r="AK21" t="str">
            <v>$98,163,873.5</v>
          </cell>
          <cell r="AL21" t="str">
            <v>$46,194,764.5</v>
          </cell>
          <cell r="AM21" t="str">
            <v>$86,615,182.5</v>
          </cell>
          <cell r="AN21">
            <v>0</v>
          </cell>
          <cell r="AO21">
            <v>0</v>
          </cell>
          <cell r="AP21" t="str">
            <v>$46,194,764.5</v>
          </cell>
          <cell r="AQ21" t="str">
            <v>$132,809,947</v>
          </cell>
          <cell r="AR21">
            <v>0</v>
          </cell>
          <cell r="AS21" t="str">
            <v>No</v>
          </cell>
          <cell r="AT21">
            <v>0</v>
          </cell>
          <cell r="AU21" t="str">
            <v>No aplica</v>
          </cell>
          <cell r="AV21" t="str">
            <v>No aplica</v>
          </cell>
          <cell r="AW21" t="str">
            <v>https://community.secop.gov.co/Public/Tendering/OpportunityDetail/Index?noticeUID=CO1.NTC.9485897&amp;isFromPublicArea=True&amp;isModal=true&amp;asPopupView=true</v>
          </cell>
          <cell r="AX21" t="str">
            <v>Juan Camilo Peña Vergara</v>
          </cell>
          <cell r="AY21" t="str">
            <v>CO</v>
          </cell>
          <cell r="AZ21" t="str">
            <v>No Definido</v>
          </cell>
          <cell r="BA21" t="str">
            <v>Sin Descripcion</v>
          </cell>
          <cell r="BB21" t="str">
            <v>Sin Descripcion</v>
          </cell>
          <cell r="BC21" t="str">
            <v>No Definido</v>
          </cell>
          <cell r="BD21" t="str">
            <v>$132,809,947</v>
          </cell>
          <cell r="BE21">
            <v>0</v>
          </cell>
          <cell r="BF21">
            <v>0</v>
          </cell>
          <cell r="BG21">
            <v>0</v>
          </cell>
          <cell r="BH21">
            <v>0</v>
          </cell>
          <cell r="BI21">
            <v>0</v>
          </cell>
          <cell r="BK21" t="str">
            <v>700,149,040</v>
          </cell>
          <cell r="BL21">
            <v>704572023</v>
          </cell>
          <cell r="BM21" t="str">
            <v/>
          </cell>
          <cell r="BO21" t="str">
            <v>Prestar apoyo profesional especializado en la implementación; ejecución; seguimiento y optimización de la Estrategia de Comunicaciones 2026; mediante la gestión integral de redes sociales y demás canales digitales institucionales; la planificación y producción de contenidos creativos; accesibles y estratégicos; el monitoreo y análisis de indicadores de desempeño digital y la interacción con los diferentes grupos de valor; garantizando la coherencia con los principios de lenguaje claro</v>
          </cell>
          <cell r="BP21" t="str">
            <v>345 Dia(s)</v>
          </cell>
          <cell r="BQ21" t="str">
            <v>No definido</v>
          </cell>
          <cell r="BR21" t="str">
            <v>No Definido</v>
          </cell>
          <cell r="BS21" t="str">
            <v>No definido</v>
          </cell>
          <cell r="BT21" t="str">
            <v>No</v>
          </cell>
          <cell r="BU21" t="str">
            <v/>
          </cell>
          <cell r="BV21" t="str">
            <v>Zoila Consuelo Vargas Mesa</v>
          </cell>
          <cell r="BW21" t="str">
            <v>Cédula de Ciudadanía</v>
          </cell>
          <cell r="BX21" t="str">
            <v>46360403</v>
          </cell>
          <cell r="BY21" t="str">
            <v>Mariana Sarmiento Arguello</v>
          </cell>
          <cell r="BZ21" t="str">
            <v>Cédula de Ciudadanía</v>
          </cell>
          <cell r="CA21" t="str">
            <v>52862292</v>
          </cell>
          <cell r="CB21" t="str">
            <v>Zoila Consuelo Vargas Mesa</v>
          </cell>
          <cell r="CC21" t="str">
            <v>Cédula de Ciudadanía</v>
          </cell>
          <cell r="CD21" t="str">
            <v>46360403</v>
          </cell>
          <cell r="CE21" t="str">
            <v>No</v>
          </cell>
          <cell r="CF21" t="str">
            <v>No definido</v>
          </cell>
          <cell r="CG21" t="str">
            <v>Calle 59 a Bis # 5 - 53 Piso 9 EDIFICIO LINK SIETE SESENTA
Bogotá
Distrito Capital de Bogotá
COLOMBIA</v>
          </cell>
          <cell r="CH21" t="str">
            <v>No definido</v>
          </cell>
          <cell r="CI21" t="str">
            <v>No definido</v>
          </cell>
          <cell r="CJ21" t="str">
            <v>No definido</v>
          </cell>
          <cell r="CK21" t="str">
            <v>No definido</v>
          </cell>
          <cell r="CL21" t="str">
            <v>No definido</v>
          </cell>
          <cell r="CM21" t="str">
            <v>No</v>
          </cell>
          <cell r="CN21" t="str">
            <v/>
          </cell>
          <cell r="CO21" t="str">
            <v/>
          </cell>
          <cell r="CP21" t="str">
            <v/>
          </cell>
          <cell r="CQ21" t="str">
            <v/>
          </cell>
        </row>
        <row r="22">
          <cell r="A22" t="str">
            <v>COMISIÓN DE REGULACIÓN DE COMUNICACIONES</v>
          </cell>
          <cell r="B22" t="str">
            <v>830,002,593</v>
          </cell>
          <cell r="C22" t="str">
            <v>Distrito Capital de Bogotá</v>
          </cell>
          <cell r="D22" t="str">
            <v>Bogotá</v>
          </cell>
          <cell r="E22" t="str">
            <v>Colombia, Bogotá,  Bogotá</v>
          </cell>
          <cell r="F22" t="str">
            <v>Nacional</v>
          </cell>
          <cell r="G22" t="str">
            <v>Tecnologías de la Información y las Comunicaciones</v>
          </cell>
          <cell r="H22" t="str">
            <v>Ejecutivo</v>
          </cell>
          <cell r="I22" t="str">
            <v>Centralizada</v>
          </cell>
          <cell r="J22" t="str">
            <v>CO1.BDOS.9554591</v>
          </cell>
          <cell r="K22" t="str">
            <v>CO1.PCCNTR.8977699</v>
          </cell>
          <cell r="L22" t="str">
            <v>CONTRATO 50 DE 2026</v>
          </cell>
          <cell r="M22" t="str">
            <v>En ejecución</v>
          </cell>
          <cell r="N22" t="str">
            <v>V1.81111507</v>
          </cell>
          <cell r="O22"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v>
          </cell>
          <cell r="P22" t="str">
            <v>Prestación de servicios</v>
          </cell>
          <cell r="Q22" t="str">
            <v>Contratación directa</v>
          </cell>
          <cell r="R22" t="str">
            <v>Servicios profesionales y apoyo a la gestión</v>
          </cell>
          <cell r="S22" t="str">
            <v>01/20/2026</v>
          </cell>
          <cell r="T22" t="str">
            <v>02/02/2026</v>
          </cell>
          <cell r="U22" t="str">
            <v>12/31/2026</v>
          </cell>
          <cell r="V22" t="str">
            <v>NXTWY.DLVY.6</v>
          </cell>
          <cell r="W22" t="str">
            <v>Cédula de Ciudadanía</v>
          </cell>
          <cell r="X22" t="str">
            <v>88249423</v>
          </cell>
          <cell r="Y22" t="str">
            <v>FABIO HERNANDO ARIAS VERA</v>
          </cell>
          <cell r="Z22" t="str">
            <v>No</v>
          </cell>
          <cell r="AA22" t="str">
            <v>No</v>
          </cell>
          <cell r="AB22" t="str">
            <v>No</v>
          </cell>
          <cell r="AC22" t="str">
            <v>No</v>
          </cell>
          <cell r="AD22" t="str">
            <v>No</v>
          </cell>
          <cell r="AE22" t="str">
            <v>No</v>
          </cell>
          <cell r="AF22" t="str">
            <v>No</v>
          </cell>
          <cell r="AG22" t="str">
            <v>Distribuido</v>
          </cell>
          <cell r="AH22" t="str">
            <v>Inversión</v>
          </cell>
          <cell r="AI22" t="str">
            <v>$150,244,670</v>
          </cell>
          <cell r="AJ22">
            <v>0</v>
          </cell>
          <cell r="AK22" t="str">
            <v>$108,813,571</v>
          </cell>
          <cell r="AL22" t="str">
            <v>$41,431,099</v>
          </cell>
          <cell r="AM22" t="str">
            <v>$108,813,571</v>
          </cell>
          <cell r="AN22">
            <v>0</v>
          </cell>
          <cell r="AO22">
            <v>0</v>
          </cell>
          <cell r="AP22" t="str">
            <v>$41,431,099</v>
          </cell>
          <cell r="AQ22" t="str">
            <v>$150,244,670</v>
          </cell>
          <cell r="AR22">
            <v>0</v>
          </cell>
          <cell r="AS22" t="str">
            <v>No</v>
          </cell>
          <cell r="AT22">
            <v>0</v>
          </cell>
          <cell r="AU22" t="str">
            <v>No aplica</v>
          </cell>
          <cell r="AV22" t="str">
            <v>No aplica</v>
          </cell>
          <cell r="AW22" t="str">
            <v>https://community.secop.gov.co/Public/Tendering/OpportunityDetail/Index?noticeUID=CO1.NTC.9608633&amp;isFromPublicArea=True&amp;isModal=true&amp;asPopupView=true</v>
          </cell>
          <cell r="AX22" t="str">
            <v>FABIO HERNANDO ARIAS VERA</v>
          </cell>
          <cell r="AY22" t="str">
            <v>CO</v>
          </cell>
          <cell r="AZ22" t="str">
            <v>No Definido</v>
          </cell>
          <cell r="BA22" t="str">
            <v>Sin Descripcion</v>
          </cell>
          <cell r="BB22" t="str">
            <v>Sin Descripcion</v>
          </cell>
          <cell r="BC22" t="str">
            <v>Hombre</v>
          </cell>
          <cell r="BD22" t="str">
            <v>$150,244,670</v>
          </cell>
          <cell r="BE22">
            <v>0</v>
          </cell>
          <cell r="BF22">
            <v>0</v>
          </cell>
          <cell r="BG22">
            <v>0</v>
          </cell>
          <cell r="BH22">
            <v>0</v>
          </cell>
          <cell r="BI22">
            <v>0</v>
          </cell>
          <cell r="BK22" t="str">
            <v>700,149,040</v>
          </cell>
          <cell r="BL22">
            <v>734730807</v>
          </cell>
          <cell r="BM22" t="str">
            <v/>
          </cell>
          <cell r="BO22"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relacionados con la automatización y gestión de los Datos relacionados (...)</v>
          </cell>
          <cell r="BP22" t="str">
            <v>11 Mes(es)</v>
          </cell>
          <cell r="BQ22" t="str">
            <v>No definido</v>
          </cell>
          <cell r="BR22" t="str">
            <v>No Definido</v>
          </cell>
          <cell r="BS22" t="str">
            <v>No definido</v>
          </cell>
          <cell r="BT22" t="str">
            <v>No</v>
          </cell>
          <cell r="BU22" t="str">
            <v/>
          </cell>
          <cell r="BV22" t="str">
            <v>No definido</v>
          </cell>
          <cell r="BW22" t="str">
            <v>No definido</v>
          </cell>
          <cell r="BX22" t="str">
            <v>No definido</v>
          </cell>
          <cell r="BY22" t="str">
            <v>INGRID PICON CARRASCAL</v>
          </cell>
          <cell r="BZ22" t="str">
            <v>Cédula de Ciudadanía</v>
          </cell>
          <cell r="CA22" t="str">
            <v>60372503</v>
          </cell>
          <cell r="CB22" t="str">
            <v>No definido</v>
          </cell>
          <cell r="CC22" t="str">
            <v>No definido</v>
          </cell>
          <cell r="CD22" t="str">
            <v>No definido</v>
          </cell>
          <cell r="CE22" t="str">
            <v>No</v>
          </cell>
          <cell r="CF22" t="str">
            <v>No definido</v>
          </cell>
          <cell r="CG22" t="str">
            <v>Calle 59 a Bis # 5 - 53 Piso 9 EDIFICIO LINK SIETE SESENTA
Bogotá
Distrito Capital de Bogotá
COLOMBIA</v>
          </cell>
          <cell r="CH22" t="str">
            <v>No definido</v>
          </cell>
          <cell r="CI22" t="str">
            <v>No definido</v>
          </cell>
          <cell r="CJ22" t="str">
            <v>No definido</v>
          </cell>
          <cell r="CK22" t="str">
            <v>No definido</v>
          </cell>
          <cell r="CL22" t="str">
            <v>No definido</v>
          </cell>
          <cell r="CM22" t="str">
            <v>No</v>
          </cell>
          <cell r="CN22" t="str">
            <v/>
          </cell>
          <cell r="CO22" t="str">
            <v/>
          </cell>
          <cell r="CP22" t="str">
            <v/>
          </cell>
          <cell r="CQ22" t="str">
            <v/>
          </cell>
        </row>
        <row r="23">
          <cell r="A23" t="str">
            <v>COMISIÓN DE REGULACIÓN DE COMUNICACIONES</v>
          </cell>
          <cell r="B23" t="str">
            <v>830,002,593</v>
          </cell>
          <cell r="C23" t="str">
            <v>Distrito Capital de Bogotá</v>
          </cell>
          <cell r="D23" t="str">
            <v>Bogotá</v>
          </cell>
          <cell r="E23" t="str">
            <v>Colombia, Bogotá,  Bogotá</v>
          </cell>
          <cell r="F23" t="str">
            <v>Nacional</v>
          </cell>
          <cell r="G23" t="str">
            <v>Tecnologías de la Información y las Comunicaciones</v>
          </cell>
          <cell r="H23" t="str">
            <v>Ejecutivo</v>
          </cell>
          <cell r="I23" t="str">
            <v>Centralizada</v>
          </cell>
          <cell r="J23" t="str">
            <v>CO1.BDOS.9284432</v>
          </cell>
          <cell r="K23" t="str">
            <v>CO1.PCCNTR.8861283</v>
          </cell>
          <cell r="L23" t="str">
            <v>CONTRATO 33 DE 2026</v>
          </cell>
          <cell r="M23" t="str">
            <v>En ejecución</v>
          </cell>
          <cell r="N23" t="str">
            <v>V1.81121502</v>
          </cell>
          <cell r="O23" t="str">
            <v>Prestación de servicios profesionales altamente especializados en materia de economía y regulación de mercados de telecomunicaciones para apoyar y acompañar a la CRC en el desarrollo de actividades técnicas; económicas y regulatorias relacionadas con la construcción y análisis de modelos de costos c</v>
          </cell>
          <cell r="P23" t="str">
            <v>Prestación de servicios</v>
          </cell>
          <cell r="Q23" t="str">
            <v>Contratación directa</v>
          </cell>
          <cell r="R23" t="str">
            <v>Servicios profesionales y apoyo a la gestión</v>
          </cell>
          <cell r="S23" t="str">
            <v>01/14/2026</v>
          </cell>
          <cell r="T23" t="str">
            <v>01/15/2026</v>
          </cell>
          <cell r="U23" t="str">
            <v>12/31/2026</v>
          </cell>
          <cell r="V23" t="str">
            <v>No Definido</v>
          </cell>
          <cell r="W23" t="str">
            <v>Otro</v>
          </cell>
          <cell r="X23" t="str">
            <v>52.OO3.6679</v>
          </cell>
          <cell r="Y23" t="str">
            <v>ROBERTO BALTRA CONSULTORIAS E.I.R.L.</v>
          </cell>
          <cell r="Z23" t="str">
            <v>No</v>
          </cell>
          <cell r="AA23" t="str">
            <v>No</v>
          </cell>
          <cell r="AB23" t="str">
            <v>No</v>
          </cell>
          <cell r="AC23" t="str">
            <v>No</v>
          </cell>
          <cell r="AD23" t="str">
            <v>No</v>
          </cell>
          <cell r="AE23" t="str">
            <v>No</v>
          </cell>
          <cell r="AF23" t="str">
            <v>No</v>
          </cell>
          <cell r="AG23" t="str">
            <v>Distribuido</v>
          </cell>
          <cell r="AH23" t="str">
            <v>Inversión</v>
          </cell>
          <cell r="AI23" t="str">
            <v>$410,000,000</v>
          </cell>
          <cell r="AJ23">
            <v>0</v>
          </cell>
          <cell r="AK23" t="str">
            <v>$205,000,000</v>
          </cell>
          <cell r="AL23" t="str">
            <v>$307,500,000</v>
          </cell>
          <cell r="AM23" t="str">
            <v>$102,500,000</v>
          </cell>
          <cell r="AN23">
            <v>0</v>
          </cell>
          <cell r="AO23">
            <v>0</v>
          </cell>
          <cell r="AP23" t="str">
            <v>$307,500,000</v>
          </cell>
          <cell r="AQ23" t="str">
            <v>$410,000,000</v>
          </cell>
          <cell r="AR23">
            <v>0</v>
          </cell>
          <cell r="AS23" t="str">
            <v>No</v>
          </cell>
          <cell r="AT23">
            <v>0</v>
          </cell>
          <cell r="AU23" t="str">
            <v>No aplica</v>
          </cell>
          <cell r="AV23" t="str">
            <v>No aplica</v>
          </cell>
          <cell r="AW23" t="str">
            <v>https://community.secop.gov.co/Public/Tendering/OpportunityDetail/Index?noticeUID=CO1.NTC.9491852&amp;isFromPublicArea=True&amp;isModal=true&amp;asPopupView=true</v>
          </cell>
          <cell r="AX23" t="str">
            <v>Roberto Baltra</v>
          </cell>
          <cell r="AY23" t="str">
            <v>CL</v>
          </cell>
          <cell r="AZ23" t="str">
            <v>No Definido</v>
          </cell>
          <cell r="BA23" t="str">
            <v>Sin Descripcion</v>
          </cell>
          <cell r="BB23" t="str">
            <v>Sin Descripcion</v>
          </cell>
          <cell r="BC23" t="str">
            <v>Mujer</v>
          </cell>
          <cell r="BD23" t="str">
            <v>$410,000,000</v>
          </cell>
          <cell r="BE23">
            <v>0</v>
          </cell>
          <cell r="BF23">
            <v>0</v>
          </cell>
          <cell r="BG23">
            <v>0</v>
          </cell>
          <cell r="BH23">
            <v>0</v>
          </cell>
          <cell r="BI23">
            <v>0</v>
          </cell>
          <cell r="BK23" t="str">
            <v>700,149,040</v>
          </cell>
          <cell r="BL23">
            <v>710226374</v>
          </cell>
          <cell r="BM23" t="str">
            <v/>
          </cell>
          <cell r="BO23" t="str">
            <v>Prestación de servicios profesionales altamente especializados en materia de economía y regulación de mercados de telecomunicaciones para apoyar y acompañar a la CRC en el desarrollo de actividades técnicas; económicas y regulatorias relacionadas con la construcción y análisis de modelos de costos convergentes para redes fijas y móviles; la elaboración de estudios y ejercicios de costeo requeridos en el proyecto «Regulación para el aprovechamiento y compartición de infraestructura</v>
          </cell>
          <cell r="BP23" t="str">
            <v>345 Dia(s)</v>
          </cell>
          <cell r="BQ23" t="str">
            <v>No definido</v>
          </cell>
          <cell r="BR23" t="str">
            <v>No Definido</v>
          </cell>
          <cell r="BS23" t="str">
            <v>No definido</v>
          </cell>
          <cell r="BT23" t="str">
            <v>No</v>
          </cell>
          <cell r="BU23" t="str">
            <v/>
          </cell>
          <cell r="BV23" t="str">
            <v>Claudia Ximena Bustamante Osorio</v>
          </cell>
          <cell r="BW23" t="str">
            <v>Cédula de Ciudadanía</v>
          </cell>
          <cell r="BX23" t="str">
            <v>65717122</v>
          </cell>
          <cell r="BY23" t="str">
            <v>No definido</v>
          </cell>
          <cell r="BZ23" t="str">
            <v>No definido</v>
          </cell>
          <cell r="CA23" t="str">
            <v>No definido</v>
          </cell>
          <cell r="CB23" t="str">
            <v>Claudia Ximena Bustamante Osorio</v>
          </cell>
          <cell r="CC23" t="str">
            <v>Cédula de Ciudadanía</v>
          </cell>
          <cell r="CD23" t="str">
            <v>65717122</v>
          </cell>
          <cell r="CE23" t="str">
            <v>No</v>
          </cell>
          <cell r="CF23" t="str">
            <v>No definido</v>
          </cell>
          <cell r="CG23" t="str">
            <v>Calle 59 a Bis # 5 - 53 Piso 9 EDIFICIO LINK SIETE SESENTA
Bogotá
Distrito Capital de Bogotá
COLOMBIA</v>
          </cell>
          <cell r="CH23" t="str">
            <v>No definido</v>
          </cell>
          <cell r="CI23" t="str">
            <v>No definido</v>
          </cell>
          <cell r="CJ23" t="str">
            <v>No definido</v>
          </cell>
          <cell r="CK23" t="str">
            <v>No definido</v>
          </cell>
          <cell r="CL23" t="str">
            <v>No definido</v>
          </cell>
          <cell r="CM23" t="str">
            <v>No</v>
          </cell>
          <cell r="CN23" t="str">
            <v/>
          </cell>
          <cell r="CO23" t="str">
            <v/>
          </cell>
          <cell r="CP23" t="str">
            <v/>
          </cell>
          <cell r="CQ23" t="str">
            <v/>
          </cell>
        </row>
        <row r="24">
          <cell r="A24" t="str">
            <v>COMISIÓN DE REGULACIÓN DE COMUNICACIONES</v>
          </cell>
          <cell r="B24" t="str">
            <v>830,002,593</v>
          </cell>
          <cell r="C24" t="str">
            <v>Distrito Capital de Bogotá</v>
          </cell>
          <cell r="D24" t="str">
            <v>Bogotá</v>
          </cell>
          <cell r="E24" t="str">
            <v>Colombia, Bogotá,  Bogotá</v>
          </cell>
          <cell r="F24" t="str">
            <v>Nacional</v>
          </cell>
          <cell r="G24" t="str">
            <v>Tecnologías de la Información y las Comunicaciones</v>
          </cell>
          <cell r="H24" t="str">
            <v>Ejecutivo</v>
          </cell>
          <cell r="I24" t="str">
            <v>Centralizada</v>
          </cell>
          <cell r="J24" t="str">
            <v>CO1.BDOS.10647377</v>
          </cell>
          <cell r="K24" t="str">
            <v>CO1.PCCNTR.9793014</v>
          </cell>
          <cell r="L24" t="str">
            <v>CONTRATO 86 DE 2026</v>
          </cell>
          <cell r="M24" t="str">
            <v>En ejecución</v>
          </cell>
          <cell r="N24" t="str">
            <v>V1.81112106</v>
          </cell>
          <cell r="O24" t="str">
            <v>Contratar la suscripción a la plataforma web de STATISTA (www.statista.com) que provee información global de indicadores y estadísticas sobre diferentes sectores de la economía. El objeto será ejecutado de acuerdo con las condiciones técnicas de acceso a la plataforma que STATISTA tiene de manera ge</v>
          </cell>
          <cell r="P24" t="str">
            <v>Prestación de servicios</v>
          </cell>
          <cell r="Q24" t="str">
            <v>Contratación directa</v>
          </cell>
          <cell r="R24" t="str">
            <v>No existe pluralidad de oferentes en el mercado</v>
          </cell>
          <cell r="S24" t="str">
            <v>08/11/2026</v>
          </cell>
          <cell r="T24" t="str">
            <v>08/12/2026</v>
          </cell>
          <cell r="U24" t="str">
            <v>08/11/2027</v>
          </cell>
          <cell r="V24" t="str">
            <v>No Definido</v>
          </cell>
          <cell r="W24" t="str">
            <v>Otro</v>
          </cell>
          <cell r="X24" t="str">
            <v>990367549</v>
          </cell>
          <cell r="Y24" t="str">
            <v>Statista INC</v>
          </cell>
          <cell r="Z24" t="str">
            <v>No</v>
          </cell>
          <cell r="AA24" t="str">
            <v>No</v>
          </cell>
          <cell r="AB24" t="str">
            <v>No</v>
          </cell>
          <cell r="AC24" t="str">
            <v>Si</v>
          </cell>
          <cell r="AD24" t="str">
            <v>No</v>
          </cell>
          <cell r="AE24" t="str">
            <v>No</v>
          </cell>
          <cell r="AF24" t="str">
            <v>No</v>
          </cell>
          <cell r="AG24" t="str">
            <v>Distribuido</v>
          </cell>
          <cell r="AH24" t="str">
            <v>Inversión</v>
          </cell>
          <cell r="AI24" t="str">
            <v>$161,297,800</v>
          </cell>
          <cell r="AJ24">
            <v>0</v>
          </cell>
          <cell r="AK24" t="str">
            <v>$161,297,800</v>
          </cell>
          <cell r="AL24" t="str">
            <v>$0</v>
          </cell>
          <cell r="AM24" t="str">
            <v>$161,297,800</v>
          </cell>
          <cell r="AN24">
            <v>0</v>
          </cell>
          <cell r="AO24">
            <v>0</v>
          </cell>
          <cell r="AP24" t="str">
            <v>$0</v>
          </cell>
          <cell r="AQ24" t="str">
            <v>$161,297,800</v>
          </cell>
          <cell r="AR24">
            <v>0</v>
          </cell>
          <cell r="AS24" t="str">
            <v>No</v>
          </cell>
          <cell r="AT24">
            <v>0</v>
          </cell>
          <cell r="AU24" t="str">
            <v>No aplica</v>
          </cell>
          <cell r="AV24" t="str">
            <v>No aplica</v>
          </cell>
          <cell r="AW24" t="str">
            <v>https://community.secop.gov.co/Public/Tendering/OpportunityDetail/Index?noticeUID=CO1.NTC.10685188&amp;isFromPublicArea=True&amp;isModal=true&amp;asPopupView=true</v>
          </cell>
          <cell r="AX24" t="str">
            <v>Elizabeth Wiley Grausam</v>
          </cell>
          <cell r="AY24" t="str">
            <v>US</v>
          </cell>
          <cell r="AZ24" t="str">
            <v>140 Broadway, Suite 2120, New York, NY 10005</v>
          </cell>
          <cell r="BA24" t="str">
            <v>Sin Descripcion</v>
          </cell>
          <cell r="BB24" t="str">
            <v>Sin Descripcion</v>
          </cell>
          <cell r="BC24" t="str">
            <v>Mujer</v>
          </cell>
          <cell r="BD24" t="str">
            <v>$161,297,800</v>
          </cell>
          <cell r="BE24">
            <v>0</v>
          </cell>
          <cell r="BF24">
            <v>0</v>
          </cell>
          <cell r="BG24">
            <v>0</v>
          </cell>
          <cell r="BH24">
            <v>0</v>
          </cell>
          <cell r="BI24">
            <v>0</v>
          </cell>
          <cell r="BK24" t="str">
            <v>700,149,040</v>
          </cell>
          <cell r="BL24">
            <v>721071389</v>
          </cell>
          <cell r="BM24" t="str">
            <v>0207 Aug 21 12:00:00 AM</v>
          </cell>
          <cell r="BN24">
            <v>47838</v>
          </cell>
          <cell r="BO24" t="str">
            <v>Contratar la suscripción a la plataforma web de STATISTA (www.statista.com) que provee información global de indicadores y estadísticas sobre diferentes sectores de la economía. El objeto será ejecutado de acuerdo con las condiciones técnicas de acceso a la plataforma que STATISTA tiene de manera general para sus Usuarios y por tanto no se considera exclusiva para LA COMISIÓN.</v>
          </cell>
          <cell r="BP24" t="str">
            <v>375 Dia(s)</v>
          </cell>
          <cell r="BQ24" t="str">
            <v>No definido</v>
          </cell>
          <cell r="BR24" t="str">
            <v>No Definido</v>
          </cell>
          <cell r="BS24" t="str">
            <v>No definido</v>
          </cell>
          <cell r="BT24" t="str">
            <v>No</v>
          </cell>
          <cell r="BU24" t="str">
            <v/>
          </cell>
          <cell r="BV24" t="str">
            <v>No definido</v>
          </cell>
          <cell r="BW24" t="str">
            <v>No definido</v>
          </cell>
          <cell r="BX24" t="str">
            <v>No definido</v>
          </cell>
          <cell r="BY24" t="str">
            <v>Miguel Andrés Durán Dajud</v>
          </cell>
          <cell r="BZ24" t="str">
            <v>Cédula de Ciudadanía</v>
          </cell>
          <cell r="CA24" t="str">
            <v>92541020</v>
          </cell>
          <cell r="CB24" t="str">
            <v>Zoila Consuelo Vargas Mesa</v>
          </cell>
          <cell r="CC24" t="str">
            <v>Cédula de Ciudadanía</v>
          </cell>
          <cell r="CD24" t="str">
            <v>46360403</v>
          </cell>
          <cell r="CE24" t="str">
            <v>No</v>
          </cell>
          <cell r="CF24" t="str">
            <v>No definido</v>
          </cell>
          <cell r="CG24" t="str">
            <v>Calle 59 a Bis # 5 - 53 Piso 9 EDIFICIO LINK SIETE SESENTA
Bogotá
Distrito Capital de Bogotá
COLOMBIA</v>
          </cell>
          <cell r="CH24" t="str">
            <v>No definido</v>
          </cell>
          <cell r="CI24" t="str">
            <v>No definido</v>
          </cell>
          <cell r="CJ24" t="str">
            <v>No definido</v>
          </cell>
          <cell r="CK24" t="str">
            <v>No definido</v>
          </cell>
          <cell r="CL24" t="str">
            <v>No definido</v>
          </cell>
          <cell r="CM24" t="str">
            <v>No</v>
          </cell>
          <cell r="CN24" t="str">
            <v/>
          </cell>
          <cell r="CO24" t="str">
            <v/>
          </cell>
          <cell r="CP24" t="str">
            <v/>
          </cell>
          <cell r="CQ24" t="str">
            <v/>
          </cell>
        </row>
        <row r="25">
          <cell r="A25" t="str">
            <v>COMISIÓN DE REGULACIÓN DE COMUNICACIONES</v>
          </cell>
          <cell r="B25" t="str">
            <v>830,002,593</v>
          </cell>
          <cell r="C25" t="str">
            <v>Distrito Capital de Bogotá</v>
          </cell>
          <cell r="D25" t="str">
            <v>Bogotá</v>
          </cell>
          <cell r="E25" t="str">
            <v>Colombia, Bogotá,  Bogotá</v>
          </cell>
          <cell r="F25" t="str">
            <v>Nacional</v>
          </cell>
          <cell r="G25" t="str">
            <v>Tecnologías de la Información y las Comunicaciones</v>
          </cell>
          <cell r="H25" t="str">
            <v>Ejecutivo</v>
          </cell>
          <cell r="I25" t="str">
            <v>Centralizada</v>
          </cell>
          <cell r="J25" t="str">
            <v>CO1.BDOS.9984162</v>
          </cell>
          <cell r="K25" t="str">
            <v>CO1.PCCNTR.9371105</v>
          </cell>
          <cell r="L25" t="str">
            <v>CONTRATO 61 DE 2026</v>
          </cell>
          <cell r="M25" t="str">
            <v>En ejecución</v>
          </cell>
          <cell r="N25" t="str">
            <v>V1.81161601</v>
          </cell>
          <cell r="O25" t="str">
            <v>Contratar la prestación del servicio de una plataforma tecnológica tipo SaaS; que permita a la Comisión de Regulación de Comunicaciones gestionar el envío de comunicaciones institucionales masivas a través de correo electrónico durante la vigencia 2026; incluyendo el acceso a la plataforma; soporte</v>
          </cell>
          <cell r="P25" t="str">
            <v>Prestación de servicios</v>
          </cell>
          <cell r="Q25" t="str">
            <v>Mínima cuantía</v>
          </cell>
          <cell r="R25" t="str">
            <v>Presupuesto inferior al 10% de la menor cuantía</v>
          </cell>
          <cell r="S25" t="str">
            <v>03/03/2026</v>
          </cell>
          <cell r="T25" t="str">
            <v>03/04/2026</v>
          </cell>
          <cell r="U25" t="str">
            <v>12/31/2026</v>
          </cell>
          <cell r="V25" t="str">
            <v>NXTWY.DLVY.2</v>
          </cell>
          <cell r="W25" t="str">
            <v>NIT</v>
          </cell>
          <cell r="X25" t="str">
            <v>900457310</v>
          </cell>
          <cell r="Y25" t="str">
            <v>CREAR IMAGEN IT</v>
          </cell>
          <cell r="Z25" t="str">
            <v>No</v>
          </cell>
          <cell r="AA25" t="str">
            <v>Si</v>
          </cell>
          <cell r="AB25" t="str">
            <v>No</v>
          </cell>
          <cell r="AC25" t="str">
            <v>Si</v>
          </cell>
          <cell r="AD25" t="str">
            <v>No</v>
          </cell>
          <cell r="AE25" t="str">
            <v>No</v>
          </cell>
          <cell r="AF25" t="str">
            <v>No</v>
          </cell>
          <cell r="AG25" t="str">
            <v>Distribuido</v>
          </cell>
          <cell r="AH25" t="str">
            <v>Inversión</v>
          </cell>
          <cell r="AI25" t="str">
            <v>$2,987,274</v>
          </cell>
          <cell r="AJ25">
            <v>0</v>
          </cell>
          <cell r="AK25" t="str">
            <v>$1,762,490</v>
          </cell>
          <cell r="AL25" t="str">
            <v>$1,224,784</v>
          </cell>
          <cell r="AM25" t="str">
            <v>$1,762,490</v>
          </cell>
          <cell r="AN25">
            <v>0</v>
          </cell>
          <cell r="AO25">
            <v>0</v>
          </cell>
          <cell r="AP25" t="str">
            <v>$1,224,784</v>
          </cell>
          <cell r="AQ25" t="str">
            <v>$6,256,550</v>
          </cell>
          <cell r="AR25">
            <v>0</v>
          </cell>
          <cell r="AS25" t="str">
            <v>No</v>
          </cell>
          <cell r="AT25">
            <v>0</v>
          </cell>
          <cell r="AU25" t="str">
            <v>No aplica</v>
          </cell>
          <cell r="AV25" t="str">
            <v>No aplica</v>
          </cell>
          <cell r="AW25" t="str">
            <v>https://community.secop.gov.co/Public/Tendering/OpportunityDetail/Index?noticeUID=CO1.NTC.10015202&amp;isFromPublicArea=True&amp;isModal=true&amp;asPopupView=true</v>
          </cell>
          <cell r="AX25" t="str">
            <v>NEFTALI ARANGO ANGEL</v>
          </cell>
          <cell r="AY25" t="str">
            <v>CO</v>
          </cell>
          <cell r="AZ25" t="str">
            <v>Cra 84No 89-20 Bogotá</v>
          </cell>
          <cell r="BA25" t="str">
            <v>Sin Descripcion</v>
          </cell>
          <cell r="BB25" t="str">
            <v>Sin Descripcion</v>
          </cell>
          <cell r="BC25" t="str">
            <v>Hombre</v>
          </cell>
          <cell r="BD25" t="str">
            <v>$2,987,274</v>
          </cell>
          <cell r="BE25">
            <v>0</v>
          </cell>
          <cell r="BF25">
            <v>0</v>
          </cell>
          <cell r="BG25">
            <v>0</v>
          </cell>
          <cell r="BH25">
            <v>0</v>
          </cell>
          <cell r="BI25">
            <v>0</v>
          </cell>
          <cell r="BK25" t="str">
            <v>700,149,040</v>
          </cell>
          <cell r="BL25">
            <v>700940042</v>
          </cell>
          <cell r="BM25" t="str">
            <v>2026 Dec 31 12:00:00 AM</v>
          </cell>
          <cell r="BN25">
            <v>47603</v>
          </cell>
          <cell r="BO25" t="str">
            <v>Contratar la prestación del servicio de una plataforma tecnológica tipo SaaS; que permita a la Comisión de Regulación de Comunicaciones gestionar el envío de comunicaciones institucionales masivas a través de correo electrónico durante la vigencia 2026; incluyendo el acceso a la plataforma; soporte técnico y el almacenamiento asociado durante la ejecución del contrato.</v>
          </cell>
          <cell r="BP25" t="str">
            <v>10 Mes(es)</v>
          </cell>
          <cell r="BQ25" t="str">
            <v>No definido</v>
          </cell>
          <cell r="BR25" t="str">
            <v>No Definido</v>
          </cell>
          <cell r="BS25" t="str">
            <v>No definido</v>
          </cell>
          <cell r="BT25" t="str">
            <v>No</v>
          </cell>
          <cell r="BU25" t="str">
            <v/>
          </cell>
          <cell r="BV25" t="str">
            <v>No definido</v>
          </cell>
          <cell r="BW25" t="str">
            <v>No definido</v>
          </cell>
          <cell r="BX25" t="str">
            <v>No definido</v>
          </cell>
          <cell r="BY25" t="str">
            <v>Rocio Quinche Parrado</v>
          </cell>
          <cell r="BZ25" t="str">
            <v>Cédula de Ciudadanía</v>
          </cell>
          <cell r="CA25" t="str">
            <v>1032417388</v>
          </cell>
          <cell r="CB25" t="str">
            <v>No definido</v>
          </cell>
          <cell r="CC25" t="str">
            <v>No definido</v>
          </cell>
          <cell r="CD25" t="str">
            <v>No definido</v>
          </cell>
          <cell r="CE25" t="str">
            <v>No</v>
          </cell>
          <cell r="CF25" t="str">
            <v>No definido</v>
          </cell>
          <cell r="CG25" t="str">
            <v>Calle 59 a Bis # 5 - 53 Piso 9 EDIFICIO LINK SIETE SESENTA
Bogotá
Distrito Capital de Bogotá
COLOMBIA</v>
          </cell>
          <cell r="CH25" t="str">
            <v>No definido</v>
          </cell>
          <cell r="CI25" t="str">
            <v>No definido</v>
          </cell>
          <cell r="CJ25" t="str">
            <v>No definido</v>
          </cell>
          <cell r="CK25" t="str">
            <v>No definido</v>
          </cell>
          <cell r="CL25" t="str">
            <v>No definido</v>
          </cell>
          <cell r="CM25" t="str">
            <v>No</v>
          </cell>
          <cell r="CN25" t="str">
            <v/>
          </cell>
          <cell r="CO25" t="str">
            <v/>
          </cell>
          <cell r="CP25" t="str">
            <v/>
          </cell>
          <cell r="CQ25" t="str">
            <v/>
          </cell>
        </row>
        <row r="26">
          <cell r="A26" t="str">
            <v>COMISIÓN DE REGULACIÓN DE COMUNICACIONES</v>
          </cell>
          <cell r="B26" t="str">
            <v>830,002,593</v>
          </cell>
          <cell r="C26" t="str">
            <v>Distrito Capital de Bogotá</v>
          </cell>
          <cell r="D26" t="str">
            <v>Bogotá</v>
          </cell>
          <cell r="E26" t="str">
            <v>Colombia, Bogotá,  Bogotá</v>
          </cell>
          <cell r="F26" t="str">
            <v>Nacional</v>
          </cell>
          <cell r="G26" t="str">
            <v>Tecnologías de la Información y las Comunicaciones</v>
          </cell>
          <cell r="H26" t="str">
            <v>Ejecutivo</v>
          </cell>
          <cell r="I26" t="str">
            <v>Centralizada</v>
          </cell>
          <cell r="J26" t="str">
            <v>CO1.BDOS.10448620</v>
          </cell>
          <cell r="K26" t="str">
            <v>CO1.PCCNTR.9725229</v>
          </cell>
          <cell r="L26" t="str">
            <v>CONTRATO 82 DE 2026</v>
          </cell>
          <cell r="M26" t="str">
            <v>En ejecución</v>
          </cell>
          <cell r="N26" t="str">
            <v>V1.72154065</v>
          </cell>
          <cell r="O26" t="str">
            <v>Contratar el servicio de Mantenimiento preventivo y correctivo con suministro de repuestos; partes y accesorios nuevos y originales no remanufacturados; a todo costo; para los equipos eléctricos y electrónicos de la Comisión de Regulación de Comunicaciones</v>
          </cell>
          <cell r="P26" t="str">
            <v>Prestación de servicios</v>
          </cell>
          <cell r="Q26" t="str">
            <v>Mínima cuantía</v>
          </cell>
          <cell r="R26" t="str">
            <v>Presupuesto inferior al 10% de la menor cuantía</v>
          </cell>
          <cell r="S26" t="str">
            <v>07/28/2026</v>
          </cell>
          <cell r="T26" t="str">
            <v>07/30/2026</v>
          </cell>
          <cell r="U26" t="str">
            <v>11/30/2026</v>
          </cell>
          <cell r="V26" t="str">
            <v>NXTWY.DLVY.6</v>
          </cell>
          <cell r="W26" t="str">
            <v>NIT</v>
          </cell>
          <cell r="X26" t="str">
            <v>900627060</v>
          </cell>
          <cell r="Y26" t="str">
            <v>ALL TECHNOLOGICAL SERVICES ATS SAS</v>
          </cell>
          <cell r="Z26" t="str">
            <v>No</v>
          </cell>
          <cell r="AA26" t="str">
            <v>Si</v>
          </cell>
          <cell r="AB26" t="str">
            <v>No</v>
          </cell>
          <cell r="AC26" t="str">
            <v>No</v>
          </cell>
          <cell r="AD26" t="str">
            <v>No</v>
          </cell>
          <cell r="AE26" t="str">
            <v>No</v>
          </cell>
          <cell r="AF26" t="str">
            <v>No</v>
          </cell>
          <cell r="AG26" t="str">
            <v>Distribuido</v>
          </cell>
          <cell r="AH26" t="str">
            <v>Funcionamiento</v>
          </cell>
          <cell r="AI26" t="str">
            <v>$5,902,257</v>
          </cell>
          <cell r="AJ26">
            <v>0</v>
          </cell>
          <cell r="AK26" t="str">
            <v>$0</v>
          </cell>
          <cell r="AL26" t="str">
            <v>$5,902,257</v>
          </cell>
          <cell r="AM26" t="str">
            <v>$0</v>
          </cell>
          <cell r="AN26">
            <v>0</v>
          </cell>
          <cell r="AO26">
            <v>0</v>
          </cell>
          <cell r="AP26" t="str">
            <v>$5,902,257</v>
          </cell>
          <cell r="AQ26" t="str">
            <v>$10,731,370</v>
          </cell>
          <cell r="AR26">
            <v>0</v>
          </cell>
          <cell r="AS26" t="str">
            <v>No</v>
          </cell>
          <cell r="AT26">
            <v>0</v>
          </cell>
          <cell r="AU26" t="str">
            <v>No aplica</v>
          </cell>
          <cell r="AV26" t="str">
            <v>No aplica</v>
          </cell>
          <cell r="AW26" t="str">
            <v>https://community.secop.gov.co/Public/Tendering/OpportunityDetail/Index?noticeUID=CO1.NTC.10486431&amp;isFromPublicArea=True&amp;isModal=true&amp;asPopupView=true</v>
          </cell>
          <cell r="AX26" t="str">
            <v>YEISON GARZÓN GONZÁLEZ</v>
          </cell>
          <cell r="AY26" t="str">
            <v>CO</v>
          </cell>
          <cell r="AZ26" t="str">
            <v>No Definido</v>
          </cell>
          <cell r="BA26" t="str">
            <v>Sin Descripcion</v>
          </cell>
          <cell r="BB26" t="str">
            <v>Sin Descripcion</v>
          </cell>
          <cell r="BC26" t="str">
            <v>Hombre</v>
          </cell>
          <cell r="BD26" t="str">
            <v>$5,902,257</v>
          </cell>
          <cell r="BE26">
            <v>0</v>
          </cell>
          <cell r="BF26">
            <v>0</v>
          </cell>
          <cell r="BG26">
            <v>0</v>
          </cell>
          <cell r="BH26">
            <v>0</v>
          </cell>
          <cell r="BI26">
            <v>0</v>
          </cell>
          <cell r="BK26" t="str">
            <v>700,149,040</v>
          </cell>
          <cell r="BL26">
            <v>700859176</v>
          </cell>
          <cell r="BM26" t="str">
            <v/>
          </cell>
          <cell r="BO26" t="str">
            <v>Contratar el servicio de Mantenimiento preventivo y correctivo con suministro de repuestos; partes y accesorios nuevos y originales no remanufacturados; a todo costo; para los equipos eléctricos y electrónicos de la Comisión de Regulación de Comunicaciones</v>
          </cell>
          <cell r="BP26" t="str">
            <v>125 Dia(s)</v>
          </cell>
          <cell r="BQ26" t="str">
            <v>No definido</v>
          </cell>
          <cell r="BR26" t="str">
            <v>No Definido</v>
          </cell>
          <cell r="BS26" t="str">
            <v>No definido</v>
          </cell>
          <cell r="BT26" t="str">
            <v>No</v>
          </cell>
          <cell r="BU26" t="str">
            <v/>
          </cell>
          <cell r="BV26" t="str">
            <v>DIANA WILCHES</v>
          </cell>
          <cell r="BW26" t="str">
            <v>Cédula de Ciudadanía</v>
          </cell>
          <cell r="BX26" t="str">
            <v>40049758</v>
          </cell>
          <cell r="BY26" t="str">
            <v>Luis Jorge Guevara Suarez</v>
          </cell>
          <cell r="BZ26" t="str">
            <v>Cédula de Ciudadanía</v>
          </cell>
          <cell r="CA26" t="str">
            <v>servidores y contrat</v>
          </cell>
          <cell r="CB26" t="str">
            <v>No definido</v>
          </cell>
          <cell r="CC26" t="str">
            <v>No definido</v>
          </cell>
          <cell r="CD26" t="str">
            <v>No definido</v>
          </cell>
          <cell r="CE26" t="str">
            <v>No</v>
          </cell>
          <cell r="CF26" t="str">
            <v>No definido</v>
          </cell>
          <cell r="CG26" t="str">
            <v>Calle 59 a Bis # 5 - 53 Piso 9 EDIFICIO LINK SIETE SESENTA
Bogotá
Distrito Capital de Bogotá
COLOMBIA</v>
          </cell>
          <cell r="CH26" t="str">
            <v>No definido</v>
          </cell>
          <cell r="CI26" t="str">
            <v>No definido</v>
          </cell>
          <cell r="CJ26" t="str">
            <v>No definido</v>
          </cell>
          <cell r="CK26" t="str">
            <v>No definido</v>
          </cell>
          <cell r="CL26" t="str">
            <v>No definido</v>
          </cell>
          <cell r="CM26" t="str">
            <v>No</v>
          </cell>
          <cell r="CN26" t="str">
            <v/>
          </cell>
          <cell r="CO26" t="str">
            <v/>
          </cell>
          <cell r="CP26" t="str">
            <v/>
          </cell>
          <cell r="CQ26" t="str">
            <v/>
          </cell>
        </row>
        <row r="27">
          <cell r="A27" t="str">
            <v>COMISIÓN DE REGULACIÓN DE COMUNICACIONES</v>
          </cell>
          <cell r="B27" t="str">
            <v>830,002,593</v>
          </cell>
          <cell r="C27" t="str">
            <v>Distrito Capital de Bogotá</v>
          </cell>
          <cell r="D27" t="str">
            <v>Bogotá</v>
          </cell>
          <cell r="E27" t="str">
            <v>Colombia, Bogotá,  Bogotá</v>
          </cell>
          <cell r="F27" t="str">
            <v>Nacional</v>
          </cell>
          <cell r="G27" t="str">
            <v>Tecnologías de la Información y las Comunicaciones</v>
          </cell>
          <cell r="H27" t="str">
            <v>Ejecutivo</v>
          </cell>
          <cell r="I27" t="str">
            <v>Centralizada</v>
          </cell>
          <cell r="J27" t="str">
            <v>CO1.BDOS.9330223</v>
          </cell>
          <cell r="K27" t="str">
            <v>CO1.PCCNTR.8895481</v>
          </cell>
          <cell r="L27" t="str">
            <v>CONTRATO 46 DE 2026</v>
          </cell>
          <cell r="M27" t="str">
            <v>En ejecución</v>
          </cell>
          <cell r="N27" t="str">
            <v>V1.80121601</v>
          </cell>
          <cell r="O27" t="str">
            <v>Contratar servicios profesionales especializados en el ámbito del derecho público; orientados a la prestación de apoyo jurídico estratégico a la Comisión de Regulación de Comunicaciones  CRC en la atención; análisis y gestión de asuntos jurídicos de alta complejidad en materia de derecho administrat</v>
          </cell>
          <cell r="P27" t="str">
            <v>Prestación de servicios</v>
          </cell>
          <cell r="Q27" t="str">
            <v>Contratación directa</v>
          </cell>
          <cell r="R27" t="str">
            <v>Servicios profesionales y apoyo a la gestión</v>
          </cell>
          <cell r="S27" t="str">
            <v>01/15/2026</v>
          </cell>
          <cell r="T27" t="str">
            <v>01/16/2026</v>
          </cell>
          <cell r="U27" t="str">
            <v>12/31/2026</v>
          </cell>
          <cell r="V27" t="str">
            <v>NXTWY.DLVY.6</v>
          </cell>
          <cell r="W27" t="str">
            <v>Cédula de Ciudadanía</v>
          </cell>
          <cell r="X27" t="str">
            <v>80088885</v>
          </cell>
          <cell r="Y27" t="str">
            <v>JORGE ENRIQUE SANTOS RODRIGUEZ</v>
          </cell>
          <cell r="Z27" t="str">
            <v>No</v>
          </cell>
          <cell r="AA27" t="str">
            <v>No</v>
          </cell>
          <cell r="AB27" t="str">
            <v>No</v>
          </cell>
          <cell r="AC27" t="str">
            <v>No</v>
          </cell>
          <cell r="AD27" t="str">
            <v>No</v>
          </cell>
          <cell r="AE27" t="str">
            <v>No</v>
          </cell>
          <cell r="AF27" t="str">
            <v>No</v>
          </cell>
          <cell r="AG27" t="str">
            <v>Distribuido</v>
          </cell>
          <cell r="AH27" t="str">
            <v>Inversión</v>
          </cell>
          <cell r="AI27" t="str">
            <v>$200,299,995</v>
          </cell>
          <cell r="AJ27">
            <v>0</v>
          </cell>
          <cell r="AK27" t="str">
            <v>$92,221,440</v>
          </cell>
          <cell r="AL27" t="str">
            <v>$108,078,555</v>
          </cell>
          <cell r="AM27" t="str">
            <v>$92,221,440</v>
          </cell>
          <cell r="AN27">
            <v>0</v>
          </cell>
          <cell r="AO27">
            <v>0</v>
          </cell>
          <cell r="AP27" t="str">
            <v>$108,078,555</v>
          </cell>
          <cell r="AQ27" t="str">
            <v>$200,299,995</v>
          </cell>
          <cell r="AR27">
            <v>0</v>
          </cell>
          <cell r="AS27" t="str">
            <v>No</v>
          </cell>
          <cell r="AT27">
            <v>0</v>
          </cell>
          <cell r="AU27" t="str">
            <v>No aplica</v>
          </cell>
          <cell r="AV27" t="str">
            <v>No aplica</v>
          </cell>
          <cell r="AW27" t="str">
            <v>https://community.secop.gov.co/Public/Tendering/OpportunityDetail/Index?noticeUID=CO1.NTC.9527885&amp;isFromPublicArea=True&amp;isModal=true&amp;asPopupView=true</v>
          </cell>
          <cell r="AX27" t="str">
            <v>JORGE ENRIQUE SANTOS RODRIGUEZ</v>
          </cell>
          <cell r="AY27" t="str">
            <v>CO</v>
          </cell>
          <cell r="AZ27" t="str">
            <v>No Definido</v>
          </cell>
          <cell r="BA27" t="str">
            <v>Cédula de Ciudadanía</v>
          </cell>
          <cell r="BB27" t="str">
            <v>80088885</v>
          </cell>
          <cell r="BC27" t="str">
            <v>No Definido</v>
          </cell>
          <cell r="BD27" t="str">
            <v>$200,299,995</v>
          </cell>
          <cell r="BE27">
            <v>0</v>
          </cell>
          <cell r="BF27">
            <v>0</v>
          </cell>
          <cell r="BG27">
            <v>0</v>
          </cell>
          <cell r="BH27">
            <v>0</v>
          </cell>
          <cell r="BI27">
            <v>0</v>
          </cell>
          <cell r="BK27" t="str">
            <v>700,149,040</v>
          </cell>
          <cell r="BL27">
            <v>703388330</v>
          </cell>
          <cell r="BM27" t="str">
            <v/>
          </cell>
          <cell r="BO27" t="str">
            <v>Contratar servicios profesionales especializados en el ámbito del derecho público; orientados a la prestación de apoyo jurídico estratégico a la Comisión de Regulación de Comunicaciones  CRC en la atención; análisis y gestión de asuntos jurídicos de alta complejidad en materia de derecho administrativo; derecho administrativo laboral; régimen sancionatorio y disciplinario</v>
          </cell>
          <cell r="BP27" t="str">
            <v>345 Dia(s)</v>
          </cell>
          <cell r="BQ27" t="str">
            <v>No definido</v>
          </cell>
          <cell r="BR27" t="str">
            <v>No Definido</v>
          </cell>
          <cell r="BS27" t="str">
            <v>No definido</v>
          </cell>
          <cell r="BT27" t="str">
            <v>No</v>
          </cell>
          <cell r="BU27" t="str">
            <v/>
          </cell>
          <cell r="BV27" t="str">
            <v>No definido</v>
          </cell>
          <cell r="BW27" t="str">
            <v>No definido</v>
          </cell>
          <cell r="BX27" t="str">
            <v>No definido</v>
          </cell>
          <cell r="BY27" t="str">
            <v>No definido</v>
          </cell>
          <cell r="BZ27" t="str">
            <v>No definido</v>
          </cell>
          <cell r="CA27" t="str">
            <v>No definido</v>
          </cell>
          <cell r="CB27" t="str">
            <v>No definido</v>
          </cell>
          <cell r="CC27" t="str">
            <v>No definido</v>
          </cell>
          <cell r="CD27" t="str">
            <v>No definido</v>
          </cell>
          <cell r="CE27" t="str">
            <v>No</v>
          </cell>
          <cell r="CF27" t="str">
            <v>No definido</v>
          </cell>
          <cell r="CG27" t="str">
            <v>Calle 59 a Bis # 5 - 53 Piso 9 EDIFICIO LINK SIETE SESENTA
Bogotá
Distrito Capital de Bogotá
COLOMBIA</v>
          </cell>
          <cell r="CH27" t="str">
            <v>No definido</v>
          </cell>
          <cell r="CI27" t="str">
            <v>No definido</v>
          </cell>
          <cell r="CJ27" t="str">
            <v>No definido</v>
          </cell>
          <cell r="CK27" t="str">
            <v>No definido</v>
          </cell>
          <cell r="CL27" t="str">
            <v>No definido</v>
          </cell>
          <cell r="CM27" t="str">
            <v>No</v>
          </cell>
          <cell r="CN27" t="str">
            <v/>
          </cell>
          <cell r="CO27" t="str">
            <v/>
          </cell>
          <cell r="CP27" t="str">
            <v/>
          </cell>
          <cell r="CQ27" t="str">
            <v/>
          </cell>
        </row>
        <row r="28">
          <cell r="A28" t="str">
            <v>COMISIÓN DE REGULACIÓN DE COMUNICACIONES</v>
          </cell>
          <cell r="B28" t="str">
            <v>830,002,593</v>
          </cell>
          <cell r="C28" t="str">
            <v>Distrito Capital de Bogotá</v>
          </cell>
          <cell r="D28" t="str">
            <v>Bogotá</v>
          </cell>
          <cell r="E28" t="str">
            <v>Colombia, Bogotá,  Bogotá</v>
          </cell>
          <cell r="F28" t="str">
            <v>Nacional</v>
          </cell>
          <cell r="G28" t="str">
            <v>Tecnologías de la Información y las Comunicaciones</v>
          </cell>
          <cell r="H28" t="str">
            <v>Ejecutivo</v>
          </cell>
          <cell r="I28" t="str">
            <v>Centralizada</v>
          </cell>
          <cell r="J28" t="str">
            <v>CO1.BDOS.9280682</v>
          </cell>
          <cell r="K28" t="str">
            <v>CO1.PCCNTR.8861112</v>
          </cell>
          <cell r="L28" t="str">
            <v>CONTRATO 19 DE 2026</v>
          </cell>
          <cell r="M28" t="str">
            <v>En ejecución</v>
          </cell>
          <cell r="N28" t="str">
            <v>V1.86101701</v>
          </cell>
          <cell r="O28" t="str">
            <v>Prestar servicios profesionales especializados a la Comisión de Regulación de Comunicaciones (CRC) para la consolidación; fortalecimiento y gestión integral de la estrategia de cooperación nacional e internacional y de alianzas estratégicas; mediante la identificación; formulación; seguimiento y eva</v>
          </cell>
          <cell r="P28" t="str">
            <v>Prestación de servicios</v>
          </cell>
          <cell r="Q28" t="str">
            <v>Contratación directa</v>
          </cell>
          <cell r="R28" t="str">
            <v>Servicios profesionales y apoyo a la gestión</v>
          </cell>
          <cell r="S28" t="str">
            <v>01/14/2026</v>
          </cell>
          <cell r="T28" t="str">
            <v>01/16/2026</v>
          </cell>
          <cell r="U28" t="str">
            <v>12/31/2026</v>
          </cell>
          <cell r="V28" t="str">
            <v>No Definido</v>
          </cell>
          <cell r="W28" t="str">
            <v>Cédula de Ciudadanía</v>
          </cell>
          <cell r="X28" t="str">
            <v>16734378</v>
          </cell>
          <cell r="Y28" t="str">
            <v>JULIO  CESAR MENDOZA GARCÍA</v>
          </cell>
          <cell r="Z28" t="str">
            <v>No</v>
          </cell>
          <cell r="AA28" t="str">
            <v>No</v>
          </cell>
          <cell r="AB28" t="str">
            <v>No</v>
          </cell>
          <cell r="AC28" t="str">
            <v>No</v>
          </cell>
          <cell r="AD28" t="str">
            <v>No</v>
          </cell>
          <cell r="AE28" t="str">
            <v>No</v>
          </cell>
          <cell r="AF28" t="str">
            <v>No</v>
          </cell>
          <cell r="AG28" t="str">
            <v>Distribuido</v>
          </cell>
          <cell r="AH28" t="str">
            <v>Inversión</v>
          </cell>
          <cell r="AI28" t="str">
            <v>$161,177,100</v>
          </cell>
          <cell r="AJ28">
            <v>0</v>
          </cell>
          <cell r="AK28" t="str">
            <v>$112,123,200</v>
          </cell>
          <cell r="AL28" t="str">
            <v>$56,061,600</v>
          </cell>
          <cell r="AM28" t="str">
            <v>$105,115,500</v>
          </cell>
          <cell r="AN28">
            <v>0</v>
          </cell>
          <cell r="AO28">
            <v>0</v>
          </cell>
          <cell r="AP28" t="str">
            <v>$56,061,600</v>
          </cell>
          <cell r="AQ28" t="str">
            <v>$161,177,100</v>
          </cell>
          <cell r="AR28">
            <v>0</v>
          </cell>
          <cell r="AS28" t="str">
            <v>No</v>
          </cell>
          <cell r="AT28">
            <v>0</v>
          </cell>
          <cell r="AU28" t="str">
            <v>No aplica</v>
          </cell>
          <cell r="AV28" t="str">
            <v>No aplica</v>
          </cell>
          <cell r="AW28" t="str">
            <v>https://community.secop.gov.co/Public/Tendering/OpportunityDetail/Index?noticeUID=CO1.NTC.9491744&amp;isFromPublicArea=True&amp;isModal=true&amp;asPopupView=true</v>
          </cell>
          <cell r="AX28" t="str">
            <v>JULIO MENDOZA</v>
          </cell>
          <cell r="AY28" t="str">
            <v>CO</v>
          </cell>
          <cell r="AZ28" t="str">
            <v>cra 19 93-89</v>
          </cell>
          <cell r="BA28" t="str">
            <v>Cédula de Ciudadanía</v>
          </cell>
          <cell r="BB28" t="str">
            <v>16734378</v>
          </cell>
          <cell r="BC28" t="str">
            <v>No Definido</v>
          </cell>
          <cell r="BD28" t="str">
            <v>$161,177,100</v>
          </cell>
          <cell r="BE28">
            <v>0</v>
          </cell>
          <cell r="BF28">
            <v>0</v>
          </cell>
          <cell r="BG28">
            <v>0</v>
          </cell>
          <cell r="BH28">
            <v>0</v>
          </cell>
          <cell r="BI28">
            <v>0</v>
          </cell>
          <cell r="BK28" t="str">
            <v>700,149,040</v>
          </cell>
          <cell r="BL28">
            <v>703030056</v>
          </cell>
          <cell r="BM28" t="str">
            <v/>
          </cell>
          <cell r="BO28" t="str">
            <v>Prestar servicios profesionales especializados a la Comisión de Regulación de Comunicaciones (CRC) para la consolidación; fortalecimiento y gestión integral de la estrategia de cooperación nacional e internacional y de alianzas estratégicas; mediante la identificación; formulación; seguimiento y evaluación de iniciativas y proyectos de cooperación técnica</v>
          </cell>
          <cell r="BP28" t="str">
            <v>345 Dia(s)</v>
          </cell>
          <cell r="BQ28" t="str">
            <v>No definido</v>
          </cell>
          <cell r="BR28" t="str">
            <v>No Definido</v>
          </cell>
          <cell r="BS28" t="str">
            <v>No definido</v>
          </cell>
          <cell r="BT28" t="str">
            <v>No</v>
          </cell>
          <cell r="BU28" t="str">
            <v/>
          </cell>
          <cell r="BV28" t="str">
            <v>Zoila Consuelo Vargas Mesa</v>
          </cell>
          <cell r="BW28" t="str">
            <v>Cédula de Ciudadanía</v>
          </cell>
          <cell r="BX28" t="str">
            <v>46360403</v>
          </cell>
          <cell r="BY28" t="str">
            <v>Ricardo Ramirez Hernandez</v>
          </cell>
          <cell r="BZ28" t="str">
            <v>Cédula de Ciudadanía</v>
          </cell>
          <cell r="CA28" t="str">
            <v>79444533</v>
          </cell>
          <cell r="CB28" t="str">
            <v>Zoila Consuelo Vargas Mesa</v>
          </cell>
          <cell r="CC28" t="str">
            <v>Cédula de Ciudadanía</v>
          </cell>
          <cell r="CD28" t="str">
            <v>46360403</v>
          </cell>
          <cell r="CE28" t="str">
            <v>No</v>
          </cell>
          <cell r="CF28" t="str">
            <v>No definido</v>
          </cell>
          <cell r="CG28" t="str">
            <v>Calle 59 a Bis # 5 - 53 Piso 9 EDIFICIO LINK SIETE SESENTA
Bogotá
Distrito Capital de Bogotá
COLOMBIA</v>
          </cell>
          <cell r="CH28" t="str">
            <v>No definido</v>
          </cell>
          <cell r="CI28" t="str">
            <v>No definido</v>
          </cell>
          <cell r="CJ28" t="str">
            <v>No definido</v>
          </cell>
          <cell r="CK28" t="str">
            <v>No definido</v>
          </cell>
          <cell r="CL28" t="str">
            <v>No definido</v>
          </cell>
          <cell r="CM28" t="str">
            <v>No</v>
          </cell>
          <cell r="CN28" t="str">
            <v/>
          </cell>
          <cell r="CO28" t="str">
            <v/>
          </cell>
          <cell r="CP28" t="str">
            <v/>
          </cell>
          <cell r="CQ28" t="str">
            <v/>
          </cell>
        </row>
        <row r="29">
          <cell r="A29" t="str">
            <v>COMISIÓN DE REGULACIÓN DE COMUNICACIONES</v>
          </cell>
          <cell r="B29" t="str">
            <v>830,002,593</v>
          </cell>
          <cell r="C29" t="str">
            <v>Distrito Capital de Bogotá</v>
          </cell>
          <cell r="D29" t="str">
            <v>Bogotá</v>
          </cell>
          <cell r="E29" t="str">
            <v>Colombia, Bogotá,  Bogotá</v>
          </cell>
          <cell r="F29" t="str">
            <v>Nacional</v>
          </cell>
          <cell r="G29" t="str">
            <v>Tecnologías de la Información y las Comunicaciones</v>
          </cell>
          <cell r="H29" t="str">
            <v>Ejecutivo</v>
          </cell>
          <cell r="I29" t="str">
            <v>Centralizada</v>
          </cell>
          <cell r="J29" t="str">
            <v>CO1.BDOS.9280012</v>
          </cell>
          <cell r="K29" t="str">
            <v>CO1.PCCNTR.8858826</v>
          </cell>
          <cell r="L29" t="str">
            <v>CONTRATO 18 DE 2026</v>
          </cell>
          <cell r="M29" t="str">
            <v>En ejecución</v>
          </cell>
          <cell r="N29" t="str">
            <v>V1.86101701</v>
          </cell>
          <cell r="O29" t="str">
            <v>Prestación de servicios profesionales para brindar apoyo en el desarrollo de actividades asociadas al consumo crítico de contenidos audiovisuales; la generación de entornos audiovisuales seguros; la protección de los derechos de la niñez y la familia en los contenidos audiovisuales; y la prevención</v>
          </cell>
          <cell r="P29" t="str">
            <v>Prestación de servicios</v>
          </cell>
          <cell r="Q29" t="str">
            <v>Contratación directa</v>
          </cell>
          <cell r="R29" t="str">
            <v>Servicios profesionales y apoyo a la gestión</v>
          </cell>
          <cell r="S29" t="str">
            <v>01/14/2026</v>
          </cell>
          <cell r="T29" t="str">
            <v>01/16/2026</v>
          </cell>
          <cell r="U29" t="str">
            <v>12/31/2026</v>
          </cell>
          <cell r="V29" t="str">
            <v>No Definido</v>
          </cell>
          <cell r="W29" t="str">
            <v>Cédula de Ciudadanía</v>
          </cell>
          <cell r="X29" t="str">
            <v>79633610</v>
          </cell>
          <cell r="Y29" t="str">
            <v>JOHN RICHARD SANCHEZ CASTIBLANCO</v>
          </cell>
          <cell r="Z29" t="str">
            <v>No</v>
          </cell>
          <cell r="AA29" t="str">
            <v>No</v>
          </cell>
          <cell r="AB29" t="str">
            <v>No</v>
          </cell>
          <cell r="AC29" t="str">
            <v>No</v>
          </cell>
          <cell r="AD29" t="str">
            <v>No</v>
          </cell>
          <cell r="AE29" t="str">
            <v>No</v>
          </cell>
          <cell r="AF29" t="str">
            <v>No</v>
          </cell>
          <cell r="AG29" t="str">
            <v>Distribuido</v>
          </cell>
          <cell r="AH29" t="str">
            <v>Inversión</v>
          </cell>
          <cell r="AI29" t="str">
            <v>$161,177,100</v>
          </cell>
          <cell r="AJ29">
            <v>0</v>
          </cell>
          <cell r="AK29" t="str">
            <v>$119,130,900</v>
          </cell>
          <cell r="AL29" t="str">
            <v>$42,046,200</v>
          </cell>
          <cell r="AM29" t="str">
            <v>$119,130,900</v>
          </cell>
          <cell r="AN29">
            <v>0</v>
          </cell>
          <cell r="AO29">
            <v>0</v>
          </cell>
          <cell r="AP29" t="str">
            <v>$42,046,200</v>
          </cell>
          <cell r="AQ29" t="str">
            <v>$161,177,100</v>
          </cell>
          <cell r="AR29">
            <v>0</v>
          </cell>
          <cell r="AS29" t="str">
            <v>No</v>
          </cell>
          <cell r="AT29">
            <v>0</v>
          </cell>
          <cell r="AU29" t="str">
            <v>No aplica</v>
          </cell>
          <cell r="AV29" t="str">
            <v>No aplica</v>
          </cell>
          <cell r="AW29" t="str">
            <v>https://community.secop.gov.co/Public/Tendering/OpportunityDetail/Index?noticeUID=CO1.NTC.9489223&amp;isFromPublicArea=True&amp;isModal=true&amp;asPopupView=true</v>
          </cell>
          <cell r="AX29" t="str">
            <v>JOHN RICHARD SANCHEZ CASTIBLANCO</v>
          </cell>
          <cell r="AY29" t="str">
            <v>CO</v>
          </cell>
          <cell r="AZ29" t="str">
            <v>No Definido</v>
          </cell>
          <cell r="BA29" t="str">
            <v>Sin Descripcion</v>
          </cell>
          <cell r="BB29" t="str">
            <v>Sin Descripcion</v>
          </cell>
          <cell r="BC29" t="str">
            <v>No Definido</v>
          </cell>
          <cell r="BD29" t="str">
            <v>$161,177,100</v>
          </cell>
          <cell r="BE29">
            <v>0</v>
          </cell>
          <cell r="BF29">
            <v>0</v>
          </cell>
          <cell r="BG29">
            <v>0</v>
          </cell>
          <cell r="BH29">
            <v>0</v>
          </cell>
          <cell r="BI29">
            <v>0</v>
          </cell>
          <cell r="BK29" t="str">
            <v>700,149,040</v>
          </cell>
          <cell r="BL29">
            <v>703170050</v>
          </cell>
          <cell r="BM29" t="str">
            <v/>
          </cell>
          <cell r="BO29" t="str">
            <v>Prestación de servicios profesionales para brindar apoyo en el desarrollo de actividades asociadas al consumo crítico de contenidos audiovisuales; la generación de entornos audiovisuales seguros; la protección de los derechos de la niñez y la familia en los contenidos audiovisuales; y la prevención de la desinformación; mediante la formulación y ejecución de proyectos regulatorios; de estrategias de difusión y pedagogía regulatoria orientadas al sector y a la ciudadanía</v>
          </cell>
          <cell r="BP29" t="str">
            <v>345 Dia(s)</v>
          </cell>
          <cell r="BQ29" t="str">
            <v>No definido</v>
          </cell>
          <cell r="BR29" t="str">
            <v>No Definido</v>
          </cell>
          <cell r="BS29" t="str">
            <v>No definido</v>
          </cell>
          <cell r="BT29" t="str">
            <v>No</v>
          </cell>
          <cell r="BU29" t="str">
            <v/>
          </cell>
          <cell r="BV29" t="str">
            <v>Zoila Consuelo Vargas Mesa</v>
          </cell>
          <cell r="BW29" t="str">
            <v>Cédula de Ciudadanía</v>
          </cell>
          <cell r="BX29" t="str">
            <v>46360403</v>
          </cell>
          <cell r="BY29" t="str">
            <v>Ricardo Ramirez Hernandez</v>
          </cell>
          <cell r="BZ29" t="str">
            <v>Cédula de Ciudadanía</v>
          </cell>
          <cell r="CA29" t="str">
            <v>79444533</v>
          </cell>
          <cell r="CB29" t="str">
            <v>Zoila Consuelo Vargas Mesa</v>
          </cell>
          <cell r="CC29" t="str">
            <v>Cédula de Ciudadanía</v>
          </cell>
          <cell r="CD29" t="str">
            <v>46360403</v>
          </cell>
          <cell r="CE29" t="str">
            <v>No</v>
          </cell>
          <cell r="CF29" t="str">
            <v>No definido</v>
          </cell>
          <cell r="CG29" t="str">
            <v>Calle 59 a Bis # 5 - 53 Piso 9 EDIFICIO LINK SIETE SESENTA
Bogotá
Distrito Capital de Bogotá
COLOMBIA</v>
          </cell>
          <cell r="CH29" t="str">
            <v>No definido</v>
          </cell>
          <cell r="CI29" t="str">
            <v>No definido</v>
          </cell>
          <cell r="CJ29" t="str">
            <v>No definido</v>
          </cell>
          <cell r="CK29" t="str">
            <v>No definido</v>
          </cell>
          <cell r="CL29" t="str">
            <v>No definido</v>
          </cell>
          <cell r="CM29" t="str">
            <v>No</v>
          </cell>
          <cell r="CN29" t="str">
            <v/>
          </cell>
          <cell r="CO29" t="str">
            <v/>
          </cell>
          <cell r="CP29" t="str">
            <v/>
          </cell>
          <cell r="CQ29" t="str">
            <v/>
          </cell>
        </row>
        <row r="30">
          <cell r="A30" t="str">
            <v>COMISIÓN DE REGULACIÓN DE COMUNICACIONES</v>
          </cell>
          <cell r="B30" t="str">
            <v>830,002,593</v>
          </cell>
          <cell r="C30" t="str">
            <v>Distrito Capital de Bogotá</v>
          </cell>
          <cell r="D30" t="str">
            <v>Bogotá</v>
          </cell>
          <cell r="E30" t="str">
            <v>Colombia, Bogotá,  Bogotá</v>
          </cell>
          <cell r="F30" t="str">
            <v>Nacional</v>
          </cell>
          <cell r="G30" t="str">
            <v>Tecnologías de la Información y las Comunicaciones</v>
          </cell>
          <cell r="H30" t="str">
            <v>Ejecutivo</v>
          </cell>
          <cell r="I30" t="str">
            <v>Centralizada</v>
          </cell>
          <cell r="J30" t="str">
            <v>CO1.BDOS.9291738</v>
          </cell>
          <cell r="K30" t="str">
            <v>CO1.PCCNTR.8861862</v>
          </cell>
          <cell r="L30" t="str">
            <v>CONTRATO 37 DE 2026</v>
          </cell>
          <cell r="M30" t="str">
            <v>En ejecución</v>
          </cell>
          <cell r="N30" t="str">
            <v>V1.81101500</v>
          </cell>
          <cell r="O30" t="str">
            <v>prestar servicios profesionales especializados en urbanismo; planificación territorial y diseño arquitectónico para brindar asistencia técnica a la CRC en el análisis; revisión y formulación de insumos que permitan identificar y gestionar condiciones urbanísticas que incidan en el despliegue de infr</v>
          </cell>
          <cell r="P30" t="str">
            <v>Prestación de servicios</v>
          </cell>
          <cell r="Q30" t="str">
            <v>Contratación directa</v>
          </cell>
          <cell r="R30" t="str">
            <v>Servicios profesionales y apoyo a la gestión</v>
          </cell>
          <cell r="S30" t="str">
            <v>01/15/2026</v>
          </cell>
          <cell r="T30" t="str">
            <v>01/20/2026</v>
          </cell>
          <cell r="U30" t="str">
            <v>12/31/2026</v>
          </cell>
          <cell r="V30" t="str">
            <v>NXTWY.DLVY.6</v>
          </cell>
          <cell r="W30" t="str">
            <v>NIT</v>
          </cell>
          <cell r="X30" t="str">
            <v>71313369</v>
          </cell>
          <cell r="Y30" t="str">
            <v>juan david botero osorio</v>
          </cell>
          <cell r="Z30" t="str">
            <v>No</v>
          </cell>
          <cell r="AA30" t="str">
            <v>Si</v>
          </cell>
          <cell r="AB30" t="str">
            <v>No</v>
          </cell>
          <cell r="AC30" t="str">
            <v>No</v>
          </cell>
          <cell r="AD30" t="str">
            <v>No</v>
          </cell>
          <cell r="AE30" t="str">
            <v>No</v>
          </cell>
          <cell r="AF30" t="str">
            <v>No</v>
          </cell>
          <cell r="AG30" t="str">
            <v>Distribuido</v>
          </cell>
          <cell r="AH30" t="str">
            <v>Inversión</v>
          </cell>
          <cell r="AI30" t="str">
            <v>$112,943,604</v>
          </cell>
          <cell r="AJ30">
            <v>0</v>
          </cell>
          <cell r="AK30" t="str">
            <v>$72,003,356</v>
          </cell>
          <cell r="AL30" t="str">
            <v>$40,940,248</v>
          </cell>
          <cell r="AM30" t="str">
            <v>$72,003,356</v>
          </cell>
          <cell r="AN30">
            <v>0</v>
          </cell>
          <cell r="AO30">
            <v>0</v>
          </cell>
          <cell r="AP30" t="str">
            <v>$40,940,248</v>
          </cell>
          <cell r="AQ30" t="str">
            <v>$112,943,605</v>
          </cell>
          <cell r="AR30">
            <v>0</v>
          </cell>
          <cell r="AS30" t="str">
            <v>No</v>
          </cell>
          <cell r="AT30">
            <v>0</v>
          </cell>
          <cell r="AU30" t="str">
            <v>No aplica</v>
          </cell>
          <cell r="AV30" t="str">
            <v>No aplica</v>
          </cell>
          <cell r="AW30" t="str">
            <v>https://community.secop.gov.co/Public/Tendering/OpportunityDetail/Index?noticeUID=CO1.NTC.9487762&amp;isFromPublicArea=True&amp;isModal=true&amp;asPopupView=true</v>
          </cell>
          <cell r="AX30" t="str">
            <v>juan david botero</v>
          </cell>
          <cell r="AY30" t="str">
            <v>CO</v>
          </cell>
          <cell r="AZ30" t="str">
            <v>No Definido</v>
          </cell>
          <cell r="BA30" t="str">
            <v>Cédula de Ciudadanía</v>
          </cell>
          <cell r="BB30" t="str">
            <v>71313369</v>
          </cell>
          <cell r="BC30" t="str">
            <v>Hombre</v>
          </cell>
          <cell r="BD30" t="str">
            <v>$112,943,604</v>
          </cell>
          <cell r="BE30">
            <v>0</v>
          </cell>
          <cell r="BF30">
            <v>0</v>
          </cell>
          <cell r="BG30">
            <v>0</v>
          </cell>
          <cell r="BH30">
            <v>0</v>
          </cell>
          <cell r="BI30">
            <v>0</v>
          </cell>
          <cell r="BK30" t="str">
            <v>700,149,040</v>
          </cell>
          <cell r="BL30">
            <v>703076737</v>
          </cell>
          <cell r="BM30" t="str">
            <v/>
          </cell>
          <cell r="BO30" t="str">
            <v>prestar servicios profesionales especializados en urbanismo; planificación territorial y diseño arquitectónico para brindar asistencia técnica a la CRC en el análisis; revisión y formulación de insumos que permitan identificar y gestionar condiciones urbanísticas que incidan en el despliegue de infraestructura de telecomunicaciones del país. El servicio incluirá la elaboración de conceptos técnicos asociados a la actualización del Reglamento Técnico para Redes Internas de Telecomunicaciones(...)</v>
          </cell>
          <cell r="BP30" t="str">
            <v>345 Dia(s)</v>
          </cell>
          <cell r="BQ30" t="str">
            <v>No definido</v>
          </cell>
          <cell r="BR30" t="str">
            <v>No Definido</v>
          </cell>
          <cell r="BS30" t="str">
            <v>No definido</v>
          </cell>
          <cell r="BT30" t="str">
            <v>No</v>
          </cell>
          <cell r="BU30" t="str">
            <v/>
          </cell>
          <cell r="BV30" t="str">
            <v>Zoila Consuelo Vargas Mesa</v>
          </cell>
          <cell r="BW30" t="str">
            <v>Cédula de Ciudadanía</v>
          </cell>
          <cell r="BX30" t="str">
            <v>46360403</v>
          </cell>
          <cell r="BY30" t="str">
            <v>VICTOR ANDRES SANDOVAL PENA</v>
          </cell>
          <cell r="BZ30" t="str">
            <v>Cédula de Ciudadanía</v>
          </cell>
          <cell r="CA30" t="str">
            <v>1026264211</v>
          </cell>
          <cell r="CB30" t="str">
            <v>No definido</v>
          </cell>
          <cell r="CC30" t="str">
            <v>No definido</v>
          </cell>
          <cell r="CD30" t="str">
            <v>No definido</v>
          </cell>
          <cell r="CE30" t="str">
            <v>No</v>
          </cell>
          <cell r="CF30" t="str">
            <v>No definido</v>
          </cell>
          <cell r="CG30" t="str">
            <v>Calle 59 a Bis # 5 - 53 Piso 9 EDIFICIO LINK SIETE SESENTA
Bogotá
Distrito Capital de Bogotá
COLOMBIA</v>
          </cell>
          <cell r="CH30" t="str">
            <v>No definido</v>
          </cell>
          <cell r="CI30" t="str">
            <v>No definido</v>
          </cell>
          <cell r="CJ30" t="str">
            <v>No definido</v>
          </cell>
          <cell r="CK30" t="str">
            <v>No definido</v>
          </cell>
          <cell r="CL30" t="str">
            <v>No definido</v>
          </cell>
          <cell r="CM30" t="str">
            <v>No</v>
          </cell>
          <cell r="CN30" t="str">
            <v/>
          </cell>
          <cell r="CO30" t="str">
            <v/>
          </cell>
          <cell r="CP30" t="str">
            <v/>
          </cell>
          <cell r="CQ30" t="str">
            <v/>
          </cell>
        </row>
        <row r="31">
          <cell r="A31" t="str">
            <v>COMISIÓN DE REGULACIÓN DE COMUNICACIONES</v>
          </cell>
          <cell r="B31" t="str">
            <v>830,002,593</v>
          </cell>
          <cell r="C31" t="str">
            <v>Distrito Capital de Bogotá</v>
          </cell>
          <cell r="D31" t="str">
            <v>Bogotá</v>
          </cell>
          <cell r="E31" t="str">
            <v>Colombia, Bogotá,  Bogotá</v>
          </cell>
          <cell r="F31" t="str">
            <v>Nacional</v>
          </cell>
          <cell r="G31" t="str">
            <v>Tecnologías de la Información y las Comunicaciones</v>
          </cell>
          <cell r="H31" t="str">
            <v>Ejecutivo</v>
          </cell>
          <cell r="I31" t="str">
            <v>Centralizada</v>
          </cell>
          <cell r="J31" t="str">
            <v>CO1.BDOS.9836662</v>
          </cell>
          <cell r="K31" t="str">
            <v>CO1.PCCNTR.9350222</v>
          </cell>
          <cell r="L31" t="str">
            <v>CONTRATO 59 DE 2026</v>
          </cell>
          <cell r="M31" t="str">
            <v>En ejecución</v>
          </cell>
          <cell r="N31" t="str">
            <v>V1.78181701</v>
          </cell>
          <cell r="O31" t="str">
            <v>Suministro de combustible (gasolina corriente) para los vehículos de propiedad de la Comisión de Regulación de Comunicaciones CRC</v>
          </cell>
          <cell r="P31" t="str">
            <v>Suministros</v>
          </cell>
          <cell r="Q31" t="str">
            <v>Mínima cuantía</v>
          </cell>
          <cell r="R31" t="str">
            <v>Presupuesto inferior al 10% de la menor cuantía</v>
          </cell>
          <cell r="S31" t="str">
            <v>02/24/2026</v>
          </cell>
          <cell r="T31" t="str">
            <v>03/02/2026</v>
          </cell>
          <cell r="U31" t="str">
            <v>12/31/2026</v>
          </cell>
          <cell r="V31" t="str">
            <v>NXTWY.DLVY.6</v>
          </cell>
          <cell r="W31" t="str">
            <v>NIT</v>
          </cell>
          <cell r="X31" t="str">
            <v>9004597375</v>
          </cell>
          <cell r="Y31" t="str">
            <v>Grupo EDS Autogas S.A.S</v>
          </cell>
          <cell r="Z31" t="str">
            <v>No</v>
          </cell>
          <cell r="AA31" t="str">
            <v>No</v>
          </cell>
          <cell r="AB31" t="str">
            <v>No</v>
          </cell>
          <cell r="AC31" t="str">
            <v>Si</v>
          </cell>
          <cell r="AD31" t="str">
            <v>No</v>
          </cell>
          <cell r="AE31" t="str">
            <v>No</v>
          </cell>
          <cell r="AF31" t="str">
            <v>No</v>
          </cell>
          <cell r="AG31" t="str">
            <v>Distribuido</v>
          </cell>
          <cell r="AH31" t="str">
            <v>Funcionamiento</v>
          </cell>
          <cell r="AI31" t="str">
            <v>$31,930,000</v>
          </cell>
          <cell r="AJ31">
            <v>0</v>
          </cell>
          <cell r="AK31" t="str">
            <v>$16,404,901.99</v>
          </cell>
          <cell r="AL31" t="str">
            <v>$15,525,098.01</v>
          </cell>
          <cell r="AM31" t="str">
            <v>$16,404,901.99</v>
          </cell>
          <cell r="AN31">
            <v>0</v>
          </cell>
          <cell r="AO31">
            <v>0</v>
          </cell>
          <cell r="AP31" t="str">
            <v>$15,525,098.01</v>
          </cell>
          <cell r="AQ31" t="str">
            <v>$31,930,000</v>
          </cell>
          <cell r="AR31">
            <v>0</v>
          </cell>
          <cell r="AS31" t="str">
            <v>No</v>
          </cell>
          <cell r="AT31">
            <v>0</v>
          </cell>
          <cell r="AU31" t="str">
            <v>No aplica</v>
          </cell>
          <cell r="AV31" t="str">
            <v>No aplica</v>
          </cell>
          <cell r="AW31" t="str">
            <v>https://community.secop.gov.co/Public/Tendering/OpportunityDetail/Index?noticeUID=CO1.NTC.10001131&amp;isFromPublicArea=True&amp;isModal=true&amp;asPopupView=true</v>
          </cell>
          <cell r="AX31" t="str">
            <v>GUSTAVO ENRIQUE MENDIETA CHACON</v>
          </cell>
          <cell r="AY31" t="str">
            <v>CO</v>
          </cell>
          <cell r="AZ31" t="str">
            <v>No Definido</v>
          </cell>
          <cell r="BA31" t="str">
            <v>Sin Descripcion</v>
          </cell>
          <cell r="BB31" t="str">
            <v>Sin Descripcion</v>
          </cell>
          <cell r="BC31" t="str">
            <v>Mujer</v>
          </cell>
          <cell r="BD31" t="str">
            <v>$31,930,000</v>
          </cell>
          <cell r="BE31">
            <v>0</v>
          </cell>
          <cell r="BF31">
            <v>0</v>
          </cell>
          <cell r="BG31">
            <v>0</v>
          </cell>
          <cell r="BH31">
            <v>0</v>
          </cell>
          <cell r="BI31">
            <v>0</v>
          </cell>
          <cell r="BK31" t="str">
            <v>700,149,040</v>
          </cell>
          <cell r="BL31">
            <v>700254022</v>
          </cell>
          <cell r="BM31" t="str">
            <v>2026 Dec 31 12:00:00 AM</v>
          </cell>
          <cell r="BN31">
            <v>47603</v>
          </cell>
          <cell r="BO31" t="str">
            <v>Suministro de combustible (gasolina corriente) para los vehículos de propiedad de la Comisión de Regulación de Comunicaciones CRC</v>
          </cell>
          <cell r="BP31" t="str">
            <v>300 Dia(s)</v>
          </cell>
          <cell r="BQ31" t="str">
            <v>No definido</v>
          </cell>
          <cell r="BR31" t="str">
            <v>No Definido</v>
          </cell>
          <cell r="BS31" t="str">
            <v>No definido</v>
          </cell>
          <cell r="BT31" t="str">
            <v>No</v>
          </cell>
          <cell r="BU31" t="str">
            <v/>
          </cell>
          <cell r="BV31" t="str">
            <v>No definido</v>
          </cell>
          <cell r="BW31" t="str">
            <v>No definido</v>
          </cell>
          <cell r="BX31" t="str">
            <v>No definido</v>
          </cell>
          <cell r="BY31" t="str">
            <v>DIANA WILCHES</v>
          </cell>
          <cell r="BZ31" t="str">
            <v>Cédula de Ciudadanía</v>
          </cell>
          <cell r="CA31" t="str">
            <v>40049758</v>
          </cell>
          <cell r="CB31" t="str">
            <v>No definido</v>
          </cell>
          <cell r="CC31" t="str">
            <v>No definido</v>
          </cell>
          <cell r="CD31" t="str">
            <v>No definido</v>
          </cell>
          <cell r="CE31" t="str">
            <v>No</v>
          </cell>
          <cell r="CF31" t="str">
            <v>No definido</v>
          </cell>
          <cell r="CG31" t="str">
            <v>Calle 59 a Bis # 5 - 53 Piso 9 EDIFICIO LINK SIETE SESENTA
Bogotá
Distrito Capital de Bogotá
COLOMBIA</v>
          </cell>
          <cell r="CH31" t="str">
            <v>No definido</v>
          </cell>
          <cell r="CI31" t="str">
            <v>No definido</v>
          </cell>
          <cell r="CJ31" t="str">
            <v>No definido</v>
          </cell>
          <cell r="CK31" t="str">
            <v>No definido</v>
          </cell>
          <cell r="CL31" t="str">
            <v>No definido</v>
          </cell>
          <cell r="CM31" t="str">
            <v>No</v>
          </cell>
          <cell r="CN31" t="str">
            <v/>
          </cell>
          <cell r="CO31" t="str">
            <v/>
          </cell>
          <cell r="CP31" t="str">
            <v/>
          </cell>
          <cell r="CQ31" t="str">
            <v/>
          </cell>
        </row>
        <row r="32">
          <cell r="A32" t="str">
            <v>COMISIÓN DE REGULACIÓN DE COMUNICACIONES</v>
          </cell>
          <cell r="B32" t="str">
            <v>830,002,593</v>
          </cell>
          <cell r="C32" t="str">
            <v>Distrito Capital de Bogotá</v>
          </cell>
          <cell r="D32" t="str">
            <v>Bogotá</v>
          </cell>
          <cell r="E32" t="str">
            <v>Colombia, Bogotá,  Bogotá</v>
          </cell>
          <cell r="F32" t="str">
            <v>Nacional</v>
          </cell>
          <cell r="G32" t="str">
            <v>Tecnologías de la Información y las Comunicaciones</v>
          </cell>
          <cell r="H32" t="str">
            <v>Ejecutivo</v>
          </cell>
          <cell r="I32" t="str">
            <v>Centralizada</v>
          </cell>
          <cell r="J32" t="str">
            <v>CO1.BDOS.10625568</v>
          </cell>
          <cell r="K32" t="str">
            <v>CO1.PCCNTR.9792936</v>
          </cell>
          <cell r="L32" t="str">
            <v>CONTRATO 91 DE 2026</v>
          </cell>
          <cell r="M32" t="str">
            <v>En ejecución</v>
          </cell>
          <cell r="N32" t="str">
            <v>V1.81111504</v>
          </cell>
          <cell r="O32" t="str">
            <v>PRESTAR LOS SERVICIOS PROFESIONALES ESPECIALIZADOS COMO ANALISTA DE REQUERIMIENTOS Y PRUEBAS QA; BRINDANDO APOYO TÉCNICO EN EL LEVANTAMIENTO DE REQUERIMIENTOS TÉCNICOS Y FUNCIONALES; EL DISEÑO DE CASOS DE PRUEBAS Y EL ASEGURAMIENTO DE LA CALIDAD DE SOFTWARE; MEDIANTE LA EJECUCIÓN DE PRUEBAS FUNCIONA</v>
          </cell>
          <cell r="P32" t="str">
            <v>Prestación de servicios</v>
          </cell>
          <cell r="Q32" t="str">
            <v>Contratación directa</v>
          </cell>
          <cell r="R32" t="str">
            <v>Servicios profesionales y apoyo a la gestión</v>
          </cell>
          <cell r="S32" t="str">
            <v>08/11/2026</v>
          </cell>
          <cell r="T32" t="str">
            <v>08/12/2026</v>
          </cell>
          <cell r="U32" t="str">
            <v>12/27/2026</v>
          </cell>
          <cell r="V32" t="str">
            <v>NXTWY.DLVY.6</v>
          </cell>
          <cell r="W32" t="str">
            <v>Cédula de Ciudadanía</v>
          </cell>
          <cell r="X32" t="str">
            <v>1075255999</v>
          </cell>
          <cell r="Y32" t="str">
            <v>MAICOL ENRIQUE PEÑA CUBILLOS</v>
          </cell>
          <cell r="Z32" t="str">
            <v>No</v>
          </cell>
          <cell r="AA32" t="str">
            <v>No</v>
          </cell>
          <cell r="AB32" t="str">
            <v>No</v>
          </cell>
          <cell r="AC32" t="str">
            <v>No</v>
          </cell>
          <cell r="AD32" t="str">
            <v>No</v>
          </cell>
          <cell r="AE32" t="str">
            <v>No</v>
          </cell>
          <cell r="AF32" t="str">
            <v>No</v>
          </cell>
          <cell r="AG32" t="str">
            <v>Distribuido</v>
          </cell>
          <cell r="AH32" t="str">
            <v>Inversión</v>
          </cell>
          <cell r="AI32" t="str">
            <v>$36,000,000</v>
          </cell>
          <cell r="AJ32">
            <v>0</v>
          </cell>
          <cell r="AK32" t="str">
            <v>$8,000,000</v>
          </cell>
          <cell r="AL32" t="str">
            <v>$28,000,000</v>
          </cell>
          <cell r="AM32" t="str">
            <v>$8,000,000</v>
          </cell>
          <cell r="AN32">
            <v>0</v>
          </cell>
          <cell r="AO32">
            <v>0</v>
          </cell>
          <cell r="AP32" t="str">
            <v>$28,000,000</v>
          </cell>
          <cell r="AQ32" t="str">
            <v>$36,000,000</v>
          </cell>
          <cell r="AR32">
            <v>0</v>
          </cell>
          <cell r="AS32" t="str">
            <v>No</v>
          </cell>
          <cell r="AT32">
            <v>0</v>
          </cell>
          <cell r="AU32" t="str">
            <v>No aplica</v>
          </cell>
          <cell r="AV32" t="str">
            <v>No aplica</v>
          </cell>
          <cell r="AW32" t="str">
            <v>https://community.secop.gov.co/Public/Tendering/OpportunityDetail/Index?noticeUID=CO1.NTC.10685277&amp;isFromPublicArea=True&amp;isModal=true&amp;asPopupView=true</v>
          </cell>
          <cell r="AX32" t="str">
            <v>MAICOL ENRIQUE PEÑA CUBILLOS</v>
          </cell>
          <cell r="AY32" t="str">
            <v>CO</v>
          </cell>
          <cell r="AZ32" t="str">
            <v>CRA 19B NO. 58-09</v>
          </cell>
          <cell r="BA32" t="str">
            <v>Sin Descripcion</v>
          </cell>
          <cell r="BB32" t="str">
            <v>Sin Descripcion</v>
          </cell>
          <cell r="BC32" t="str">
            <v>Mujer</v>
          </cell>
          <cell r="BD32" t="str">
            <v>$36,000,000</v>
          </cell>
          <cell r="BE32">
            <v>0</v>
          </cell>
          <cell r="BF32">
            <v>0</v>
          </cell>
          <cell r="BG32">
            <v>0</v>
          </cell>
          <cell r="BH32">
            <v>0</v>
          </cell>
          <cell r="BI32">
            <v>0</v>
          </cell>
          <cell r="BK32" t="str">
            <v>700,149,040</v>
          </cell>
          <cell r="BL32">
            <v>708772017</v>
          </cell>
          <cell r="BM32" t="str">
            <v/>
          </cell>
          <cell r="BO32" t="str">
            <v>PRESTAR LOS SERVICIOS PROFESIONALES ESPECIALIZADOS COMO ANALISTA DE REQUERIMIENTOS Y PRUEBAS QA; BRINDANDO APOYO TÉCNICO EN EL LEVANTAMIENTO DE REQUERIMIENTOS TÉCNICOS Y FUNCIONALES; EL DISEÑO DE CASOS DE PRUEBAS Y EL ASEGURAMIENTO DE LA CALIDAD DE SOFTWARE; MEDIANTE LA EJECUCIÓN DE PRUEBAS FUNCIONALES Y NO FUNCIONALES SOBRE LOS DESARROLLOS IMPLEMENTADOS EN EL CENTRO INTERACTIVO DE RECURSOS PEDAGÓGICOS Y EN EL ENTORNO LMS MOODLE DEL ECOSISTEMA AULA CRC; DE CONFORMIDAD CON LOS LINEAMIENTOS (...)</v>
          </cell>
          <cell r="BP32" t="str">
            <v>135 Dia(s)</v>
          </cell>
          <cell r="BQ32" t="str">
            <v>No definido</v>
          </cell>
          <cell r="BR32" t="str">
            <v>No Definido</v>
          </cell>
          <cell r="BS32" t="str">
            <v>No definido</v>
          </cell>
          <cell r="BT32" t="str">
            <v>No</v>
          </cell>
          <cell r="BU32" t="str">
            <v/>
          </cell>
          <cell r="BV32" t="str">
            <v>No definido</v>
          </cell>
          <cell r="BW32" t="str">
            <v>No definido</v>
          </cell>
          <cell r="BX32" t="str">
            <v>No definido</v>
          </cell>
          <cell r="BY32" t="str">
            <v>Ricardo Ramirez Hernandez</v>
          </cell>
          <cell r="BZ32" t="str">
            <v>Cédula de Ciudadanía</v>
          </cell>
          <cell r="CA32" t="str">
            <v>79444533</v>
          </cell>
          <cell r="CB32" t="str">
            <v>No definido</v>
          </cell>
          <cell r="CC32" t="str">
            <v>No definido</v>
          </cell>
          <cell r="CD32" t="str">
            <v>No definido</v>
          </cell>
          <cell r="CE32" t="str">
            <v>No</v>
          </cell>
          <cell r="CF32" t="str">
            <v>No definido</v>
          </cell>
          <cell r="CG32" t="str">
            <v>Calle 59 a Bis # 5 - 53 Piso 9 EDIFICIO LINK SIETE SESENTA
Bogotá
Distrito Capital de Bogotá
COLOMBIA</v>
          </cell>
          <cell r="CH32" t="str">
            <v>No definido</v>
          </cell>
          <cell r="CI32" t="str">
            <v>No definido</v>
          </cell>
          <cell r="CJ32" t="str">
            <v>No definido</v>
          </cell>
          <cell r="CK32" t="str">
            <v>No definido</v>
          </cell>
          <cell r="CL32" t="str">
            <v>No definido</v>
          </cell>
          <cell r="CM32" t="str">
            <v>No</v>
          </cell>
          <cell r="CN32" t="str">
            <v/>
          </cell>
          <cell r="CO32" t="str">
            <v/>
          </cell>
          <cell r="CP32" t="str">
            <v/>
          </cell>
          <cell r="CQ32" t="str">
            <v/>
          </cell>
        </row>
        <row r="33">
          <cell r="A33" t="str">
            <v>COMISIÓN DE REGULACIÓN DE COMUNICACIONES</v>
          </cell>
          <cell r="B33" t="str">
            <v>830,002,593</v>
          </cell>
          <cell r="C33" t="str">
            <v>Distrito Capital de Bogotá</v>
          </cell>
          <cell r="D33" t="str">
            <v>Bogotá</v>
          </cell>
          <cell r="E33" t="str">
            <v>Colombia, Bogotá,  Bogotá</v>
          </cell>
          <cell r="F33" t="str">
            <v>Nacional</v>
          </cell>
          <cell r="G33" t="str">
            <v>Tecnologías de la Información y las Comunicaciones</v>
          </cell>
          <cell r="H33" t="str">
            <v>Ejecutivo</v>
          </cell>
          <cell r="I33" t="str">
            <v>Centralizada</v>
          </cell>
          <cell r="J33" t="str">
            <v>CO1.BDOS.9312850</v>
          </cell>
          <cell r="K33" t="str">
            <v>CO1.PCCNTR.8881314</v>
          </cell>
          <cell r="L33" t="str">
            <v>CONTRATO 28 DE 2026</v>
          </cell>
          <cell r="M33" t="str">
            <v>En ejecución</v>
          </cell>
          <cell r="N33" t="str">
            <v>V1.81111507</v>
          </cell>
          <cell r="O33"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v>
          </cell>
          <cell r="P33" t="str">
            <v>Prestación de servicios</v>
          </cell>
          <cell r="Q33" t="str">
            <v>Contratación directa</v>
          </cell>
          <cell r="R33" t="str">
            <v>Servicios profesionales y apoyo a la gestión</v>
          </cell>
          <cell r="S33" t="str">
            <v>01/15/2026</v>
          </cell>
          <cell r="T33" t="str">
            <v>01/16/2026</v>
          </cell>
          <cell r="U33" t="str">
            <v>12/31/2026</v>
          </cell>
          <cell r="V33" t="str">
            <v>No Definido</v>
          </cell>
          <cell r="W33" t="str">
            <v>Cédula de Ciudadanía</v>
          </cell>
          <cell r="X33" t="str">
            <v>1075229443</v>
          </cell>
          <cell r="Y33" t="str">
            <v>Wilmer Alejandro Osorio Giraldo</v>
          </cell>
          <cell r="Z33" t="str">
            <v>No</v>
          </cell>
          <cell r="AA33" t="str">
            <v>No</v>
          </cell>
          <cell r="AB33" t="str">
            <v>No</v>
          </cell>
          <cell r="AC33" t="str">
            <v>No</v>
          </cell>
          <cell r="AD33" t="str">
            <v>No</v>
          </cell>
          <cell r="AE33" t="str">
            <v>No</v>
          </cell>
          <cell r="AF33" t="str">
            <v>No</v>
          </cell>
          <cell r="AG33" t="str">
            <v>Distribuido</v>
          </cell>
          <cell r="AH33" t="str">
            <v>Inversión</v>
          </cell>
          <cell r="AI33" t="str">
            <v>$157,074,000</v>
          </cell>
          <cell r="AJ33">
            <v>0</v>
          </cell>
          <cell r="AK33" t="str">
            <v>$116,098,168</v>
          </cell>
          <cell r="AL33" t="str">
            <v>$40,975,832</v>
          </cell>
          <cell r="AM33" t="str">
            <v>$116,098,168</v>
          </cell>
          <cell r="AN33">
            <v>0</v>
          </cell>
          <cell r="AO33">
            <v>0</v>
          </cell>
          <cell r="AP33" t="str">
            <v>$40,975,832</v>
          </cell>
          <cell r="AQ33" t="str">
            <v>$157,074,000</v>
          </cell>
          <cell r="AR33">
            <v>0</v>
          </cell>
          <cell r="AS33" t="str">
            <v>No</v>
          </cell>
          <cell r="AT33">
            <v>0</v>
          </cell>
          <cell r="AU33" t="str">
            <v>No aplica</v>
          </cell>
          <cell r="AV33" t="str">
            <v>No aplica</v>
          </cell>
          <cell r="AW33" t="str">
            <v>https://community.secop.gov.co/Public/Tendering/OpportunityDetail/Index?noticeUID=CO1.NTC.9513223&amp;isFromPublicArea=True&amp;isModal=true&amp;asPopupView=true</v>
          </cell>
          <cell r="AX33" t="str">
            <v>Wilmer Alejandro Osorio Giraldo</v>
          </cell>
          <cell r="AY33" t="str">
            <v>CO</v>
          </cell>
          <cell r="AZ33" t="str">
            <v>Calle 63D # 71 - 50</v>
          </cell>
          <cell r="BA33" t="str">
            <v>Cédula de Ciudadanía</v>
          </cell>
          <cell r="BB33" t="str">
            <v>1075229443</v>
          </cell>
          <cell r="BC33" t="str">
            <v>Mujer</v>
          </cell>
          <cell r="BD33" t="str">
            <v>$157,074,000</v>
          </cell>
          <cell r="BE33">
            <v>0</v>
          </cell>
          <cell r="BF33">
            <v>0</v>
          </cell>
          <cell r="BG33">
            <v>0</v>
          </cell>
          <cell r="BH33">
            <v>0</v>
          </cell>
          <cell r="BI33">
            <v>0</v>
          </cell>
          <cell r="BK33" t="str">
            <v>700,149,040</v>
          </cell>
          <cell r="BL33">
            <v>706350329</v>
          </cell>
          <cell r="BM33" t="str">
            <v/>
          </cell>
          <cell r="BO33"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y al Plan de Acción año 2026; en cumplimiento de la Política de Gobierno Digi</v>
          </cell>
          <cell r="BP33" t="str">
            <v>345 Dia(s)</v>
          </cell>
          <cell r="BQ33" t="str">
            <v>No definido</v>
          </cell>
          <cell r="BR33" t="str">
            <v>No Definido</v>
          </cell>
          <cell r="BS33" t="str">
            <v>No definido</v>
          </cell>
          <cell r="BT33" t="str">
            <v>No</v>
          </cell>
          <cell r="BU33" t="str">
            <v/>
          </cell>
          <cell r="BV33" t="str">
            <v>Zoila Consuelo Vargas Mesa</v>
          </cell>
          <cell r="BW33" t="str">
            <v>Cédula de Ciudadanía</v>
          </cell>
          <cell r="BX33" t="str">
            <v>46360403</v>
          </cell>
          <cell r="BY33" t="str">
            <v>INGRID PICON CARRASCAL</v>
          </cell>
          <cell r="BZ33" t="str">
            <v>Cédula de Ciudadanía</v>
          </cell>
          <cell r="CA33" t="str">
            <v>60372503</v>
          </cell>
          <cell r="CB33" t="str">
            <v>No definido</v>
          </cell>
          <cell r="CC33" t="str">
            <v>No definido</v>
          </cell>
          <cell r="CD33" t="str">
            <v>No definido</v>
          </cell>
          <cell r="CE33" t="str">
            <v>No</v>
          </cell>
          <cell r="CF33" t="str">
            <v>No definido</v>
          </cell>
          <cell r="CG33" t="str">
            <v>Calle 59 a Bis # 5 - 53 Piso 9 EDIFICIO LINK SIETE SESENTA
Bogotá
Distrito Capital de Bogotá
COLOMBIA</v>
          </cell>
          <cell r="CH33" t="str">
            <v>No definido</v>
          </cell>
          <cell r="CI33" t="str">
            <v>No definido</v>
          </cell>
          <cell r="CJ33" t="str">
            <v>No definido</v>
          </cell>
          <cell r="CK33" t="str">
            <v>No definido</v>
          </cell>
          <cell r="CL33" t="str">
            <v>No definido</v>
          </cell>
          <cell r="CM33" t="str">
            <v>No</v>
          </cell>
          <cell r="CN33" t="str">
            <v/>
          </cell>
          <cell r="CO33" t="str">
            <v/>
          </cell>
          <cell r="CP33" t="str">
            <v/>
          </cell>
          <cell r="CQ33" t="str">
            <v/>
          </cell>
        </row>
        <row r="34">
          <cell r="A34" t="str">
            <v>COMISIÓN DE REGULACIÓN DE COMUNICACIONES</v>
          </cell>
          <cell r="B34" t="str">
            <v>830,002,593</v>
          </cell>
          <cell r="C34" t="str">
            <v>Distrito Capital de Bogotá</v>
          </cell>
          <cell r="D34" t="str">
            <v>Bogotá</v>
          </cell>
          <cell r="E34" t="str">
            <v>Colombia, Bogotá,  Bogotá</v>
          </cell>
          <cell r="F34" t="str">
            <v>Nacional</v>
          </cell>
          <cell r="G34" t="str">
            <v>Tecnologías de la Información y las Comunicaciones</v>
          </cell>
          <cell r="H34" t="str">
            <v>Ejecutivo</v>
          </cell>
          <cell r="I34" t="str">
            <v>Centralizada</v>
          </cell>
          <cell r="J34" t="str">
            <v>CO1.BDOS.10555690</v>
          </cell>
          <cell r="K34" t="str">
            <v>CO1.PCCNTR.9724479</v>
          </cell>
          <cell r="L34" t="str">
            <v>CONTRATO 80 DE 2026</v>
          </cell>
          <cell r="M34" t="str">
            <v>En ejecución</v>
          </cell>
          <cell r="N34" t="str">
            <v>V1.81112209</v>
          </cell>
          <cell r="O34" t="str">
            <v>Renovación de los servicios de soporte; mantenimiento y actualización del sistema de Gestión Documental ONBASE por un (1) año y adquisición de bolsa de horas para la Comisión de Regulación de Comunicaciones</v>
          </cell>
          <cell r="P34" t="str">
            <v>Prestación de servicios</v>
          </cell>
          <cell r="Q34" t="str">
            <v>Contratación directa</v>
          </cell>
          <cell r="R34" t="str">
            <v>No existe pluralidad de oferentes en el mercado</v>
          </cell>
          <cell r="S34" t="str">
            <v>07/31/2026</v>
          </cell>
          <cell r="T34" t="str">
            <v>08/06/2026</v>
          </cell>
          <cell r="U34" t="str">
            <v>08/05/2027</v>
          </cell>
          <cell r="V34" t="str">
            <v>NXTWY.DLVY.6</v>
          </cell>
          <cell r="W34" t="str">
            <v>NIT</v>
          </cell>
          <cell r="X34" t="str">
            <v>900554898</v>
          </cell>
          <cell r="Y34" t="str">
            <v>GIGA COLOMBIA SAS</v>
          </cell>
          <cell r="Z34" t="str">
            <v>No</v>
          </cell>
          <cell r="AA34" t="str">
            <v>No</v>
          </cell>
          <cell r="AB34" t="str">
            <v>No</v>
          </cell>
          <cell r="AC34" t="str">
            <v>No</v>
          </cell>
          <cell r="AD34" t="str">
            <v>No</v>
          </cell>
          <cell r="AE34" t="str">
            <v>No</v>
          </cell>
          <cell r="AF34" t="str">
            <v>No</v>
          </cell>
          <cell r="AG34" t="str">
            <v>Distribuido</v>
          </cell>
          <cell r="AH34" t="str">
            <v>Inversión</v>
          </cell>
          <cell r="AI34" t="str">
            <v>$333,764,531.7</v>
          </cell>
          <cell r="AJ34">
            <v>0</v>
          </cell>
          <cell r="AK34" t="str">
            <v>$328,623,731.7</v>
          </cell>
          <cell r="AL34" t="str">
            <v>$5,140,800</v>
          </cell>
          <cell r="AM34" t="str">
            <v>$328,623,731.7</v>
          </cell>
          <cell r="AN34">
            <v>0</v>
          </cell>
          <cell r="AO34">
            <v>0</v>
          </cell>
          <cell r="AP34" t="str">
            <v>$5,140,800</v>
          </cell>
          <cell r="AQ34" t="str">
            <v>$333,764,532</v>
          </cell>
          <cell r="AR34">
            <v>0</v>
          </cell>
          <cell r="AS34" t="str">
            <v>No</v>
          </cell>
          <cell r="AT34">
            <v>0</v>
          </cell>
          <cell r="AU34" t="str">
            <v>No aplica</v>
          </cell>
          <cell r="AV34" t="str">
            <v>No aplica</v>
          </cell>
          <cell r="AW34" t="str">
            <v>https://community.secop.gov.co/Public/Tendering/OpportunityDetail/Index?noticeUID=CO1.NTC.10594647&amp;isFromPublicArea=True&amp;isModal=true&amp;asPopupView=true</v>
          </cell>
          <cell r="AX34" t="str">
            <v>Adriana Salas Miranda</v>
          </cell>
          <cell r="AY34" t="str">
            <v>CO</v>
          </cell>
          <cell r="AZ34" t="str">
            <v>Calle 108 # 45 - 30 Torre 2 Oficina 505 Edificio Paralelo 108</v>
          </cell>
          <cell r="BA34" t="str">
            <v>Sin Descripcion</v>
          </cell>
          <cell r="BB34" t="str">
            <v>Sin Descripcion</v>
          </cell>
          <cell r="BC34" t="str">
            <v>Mujer</v>
          </cell>
          <cell r="BD34" t="str">
            <v>$333,764,532</v>
          </cell>
          <cell r="BE34">
            <v>0</v>
          </cell>
          <cell r="BF34">
            <v>0</v>
          </cell>
          <cell r="BG34">
            <v>0</v>
          </cell>
          <cell r="BH34">
            <v>0</v>
          </cell>
          <cell r="BI34">
            <v>0</v>
          </cell>
          <cell r="BK34" t="str">
            <v>700,149,040</v>
          </cell>
          <cell r="BL34">
            <v>701141095</v>
          </cell>
          <cell r="BM34" t="str">
            <v/>
          </cell>
          <cell r="BO34" t="str">
            <v>Renovación de los servicios de soporte; mantenimiento y actualización del sistema de Gestión Documental ONBASE por un (1) año y adquisición de bolsa de horas para la Comisión de Regulación de Comunicaciones</v>
          </cell>
          <cell r="BP34" t="str">
            <v>1 Año(s)</v>
          </cell>
          <cell r="BQ34" t="str">
            <v>No definido</v>
          </cell>
          <cell r="BR34" t="str">
            <v>No Definido</v>
          </cell>
          <cell r="BS34" t="str">
            <v>No definido</v>
          </cell>
          <cell r="BT34" t="str">
            <v>No</v>
          </cell>
          <cell r="BU34" t="str">
            <v/>
          </cell>
          <cell r="BV34" t="str">
            <v>No definido</v>
          </cell>
          <cell r="BW34" t="str">
            <v>No definido</v>
          </cell>
          <cell r="BX34" t="str">
            <v>No definido</v>
          </cell>
          <cell r="BY34" t="str">
            <v>No definido</v>
          </cell>
          <cell r="BZ34" t="str">
            <v>No definido</v>
          </cell>
          <cell r="CA34" t="str">
            <v>No definido</v>
          </cell>
          <cell r="CB34" t="str">
            <v>No definido</v>
          </cell>
          <cell r="CC34" t="str">
            <v>No definido</v>
          </cell>
          <cell r="CD34" t="str">
            <v>No definido</v>
          </cell>
          <cell r="CE34" t="str">
            <v>No</v>
          </cell>
          <cell r="CF34" t="str">
            <v>No definido</v>
          </cell>
          <cell r="CG34" t="str">
            <v>Calle 59 a Bis # 5 - 53 Piso 9 EDIFICIO LINK SIETE SESENTA
Bogotá
Distrito Capital de Bogotá
COLOMBIA</v>
          </cell>
          <cell r="CH34" t="str">
            <v>No definido</v>
          </cell>
          <cell r="CI34" t="str">
            <v>No definido</v>
          </cell>
          <cell r="CJ34" t="str">
            <v>No definido</v>
          </cell>
          <cell r="CK34" t="str">
            <v>No definido</v>
          </cell>
          <cell r="CL34" t="str">
            <v>No definido</v>
          </cell>
          <cell r="CM34" t="str">
            <v>No</v>
          </cell>
          <cell r="CN34" t="str">
            <v/>
          </cell>
          <cell r="CO34" t="str">
            <v/>
          </cell>
          <cell r="CP34" t="str">
            <v/>
          </cell>
          <cell r="CQ34" t="str">
            <v/>
          </cell>
        </row>
        <row r="35">
          <cell r="A35" t="str">
            <v>COMISIÓN DE REGULACIÓN DE COMUNICACIONES</v>
          </cell>
          <cell r="B35" t="str">
            <v>830,002,593</v>
          </cell>
          <cell r="C35" t="str">
            <v>Distrito Capital de Bogotá</v>
          </cell>
          <cell r="D35" t="str">
            <v>Bogotá</v>
          </cell>
          <cell r="E35" t="str">
            <v>Colombia, Bogotá,  Bogotá</v>
          </cell>
          <cell r="F35" t="str">
            <v>Nacional</v>
          </cell>
          <cell r="G35" t="str">
            <v>Tecnologías de la Información y las Comunicaciones</v>
          </cell>
          <cell r="H35" t="str">
            <v>Ejecutivo</v>
          </cell>
          <cell r="I35" t="str">
            <v>Centralizada</v>
          </cell>
          <cell r="J35" t="str">
            <v>CO1.BDOS.10344921</v>
          </cell>
          <cell r="K35" t="str">
            <v>CO1.PCCNTR.9709815</v>
          </cell>
          <cell r="L35" t="str">
            <v>CONTRATO 79 DE 2026</v>
          </cell>
          <cell r="M35" t="str">
            <v>En ejecución</v>
          </cell>
          <cell r="N35" t="str">
            <v>V1.81131504</v>
          </cell>
          <cell r="O35" t="str">
            <v>Contratar los servicios de consultoría para desarrollar un estudio que permita identificar; analizar y caracterizar los mecanismos de protección de niños; niñas y adolescentes NNA implementados en plataformas audiovisuales y servicios digitales.</v>
          </cell>
          <cell r="P35" t="str">
            <v>Consultoría</v>
          </cell>
          <cell r="Q35" t="str">
            <v>Concurso de méritos abierto</v>
          </cell>
          <cell r="R35" t="str">
            <v>Ley 1150 de 2007</v>
          </cell>
          <cell r="S35" t="str">
            <v>07/28/2026</v>
          </cell>
          <cell r="T35" t="str">
            <v>08/04/2026</v>
          </cell>
          <cell r="U35" t="str">
            <v>12/03/2026</v>
          </cell>
          <cell r="V35" t="str">
            <v>No Definido</v>
          </cell>
          <cell r="W35" t="str">
            <v>NIT</v>
          </cell>
          <cell r="X35" t="str">
            <v>830100700</v>
          </cell>
          <cell r="Y35" t="str">
            <v>Brandstrat  BIC S.A.S</v>
          </cell>
          <cell r="Z35" t="str">
            <v>No</v>
          </cell>
          <cell r="AA35" t="str">
            <v>Si</v>
          </cell>
          <cell r="AB35" t="str">
            <v>No</v>
          </cell>
          <cell r="AC35" t="str">
            <v>Si</v>
          </cell>
          <cell r="AD35" t="str">
            <v>No</v>
          </cell>
          <cell r="AE35" t="str">
            <v>No</v>
          </cell>
          <cell r="AF35" t="str">
            <v>No</v>
          </cell>
          <cell r="AG35" t="str">
            <v>Distribuido</v>
          </cell>
          <cell r="AH35" t="str">
            <v>Inversión</v>
          </cell>
          <cell r="AI35" t="str">
            <v>$273,424,500</v>
          </cell>
          <cell r="AJ35">
            <v>0</v>
          </cell>
          <cell r="AK35" t="str">
            <v>$27,342,450</v>
          </cell>
          <cell r="AL35" t="str">
            <v>$246,082,050</v>
          </cell>
          <cell r="AM35" t="str">
            <v>$27,342,450</v>
          </cell>
          <cell r="AN35">
            <v>0</v>
          </cell>
          <cell r="AO35">
            <v>0</v>
          </cell>
          <cell r="AP35" t="str">
            <v>$246,082,050</v>
          </cell>
          <cell r="AQ35" t="str">
            <v>$273,424,500</v>
          </cell>
          <cell r="AR35">
            <v>0</v>
          </cell>
          <cell r="AS35" t="str">
            <v>No</v>
          </cell>
          <cell r="AT35">
            <v>0</v>
          </cell>
          <cell r="AU35" t="str">
            <v>No aplica</v>
          </cell>
          <cell r="AV35" t="str">
            <v>No aplica</v>
          </cell>
          <cell r="AW35" t="str">
            <v>https://community.secop.gov.co/Public/Tendering/OpportunityDetail/Index?noticeUID=CO1.NTC.10429509&amp;isFromPublicArea=True&amp;isModal=true&amp;asPopupView=true</v>
          </cell>
          <cell r="AX35" t="str">
            <v>Rafael Alfonso Lopez Llamas</v>
          </cell>
          <cell r="AY35" t="str">
            <v>CO</v>
          </cell>
          <cell r="AZ35" t="str">
            <v>Calle 95 # 11ª- 37 Of. 501</v>
          </cell>
          <cell r="BA35" t="str">
            <v>Cédula de Ciudadanía</v>
          </cell>
          <cell r="BB35" t="str">
            <v>79939</v>
          </cell>
          <cell r="BC35" t="str">
            <v>Hombre</v>
          </cell>
          <cell r="BD35" t="str">
            <v>$273,424,500</v>
          </cell>
          <cell r="BE35">
            <v>0</v>
          </cell>
          <cell r="BF35">
            <v>0</v>
          </cell>
          <cell r="BG35">
            <v>0</v>
          </cell>
          <cell r="BH35">
            <v>0</v>
          </cell>
          <cell r="BI35">
            <v>0</v>
          </cell>
          <cell r="BK35" t="str">
            <v>700,149,040</v>
          </cell>
          <cell r="BL35">
            <v>700815012</v>
          </cell>
          <cell r="BM35" t="str">
            <v>2026 Dec 04 12:00:00 AM</v>
          </cell>
          <cell r="BN35">
            <v>47576</v>
          </cell>
          <cell r="BO35" t="str">
            <v>Contratar los servicios de consultoría para desarrollar un estudio que permita identificar; analizar y caracterizar los mecanismos de protección de niños; niñas y adolescentes NNA implementados en plataformas audiovisuales y servicios digitales.</v>
          </cell>
          <cell r="BP35" t="str">
            <v>4 Mes(es)</v>
          </cell>
          <cell r="BQ35" t="str">
            <v>No definido</v>
          </cell>
          <cell r="BR35" t="str">
            <v>No Definido</v>
          </cell>
          <cell r="BS35" t="str">
            <v>No definido</v>
          </cell>
          <cell r="BT35" t="str">
            <v>No</v>
          </cell>
          <cell r="BU35" t="str">
            <v/>
          </cell>
          <cell r="BV35" t="str">
            <v>No definido</v>
          </cell>
          <cell r="BW35" t="str">
            <v>No definido</v>
          </cell>
          <cell r="BX35" t="str">
            <v>No definido</v>
          </cell>
          <cell r="BY35" t="str">
            <v>Ricardo Ramirez Hernandez</v>
          </cell>
          <cell r="BZ35" t="str">
            <v>Cédula de Ciudadanía</v>
          </cell>
          <cell r="CA35" t="str">
            <v>79444533</v>
          </cell>
          <cell r="CB35" t="str">
            <v>Zoila Consuelo Vargas Mesa</v>
          </cell>
          <cell r="CC35" t="str">
            <v>Cédula de Ciudadanía</v>
          </cell>
          <cell r="CD35" t="str">
            <v>46360403</v>
          </cell>
          <cell r="CE35" t="str">
            <v>No</v>
          </cell>
          <cell r="CF35" t="str">
            <v>No definido</v>
          </cell>
          <cell r="CG35" t="str">
            <v>Calle 59 a Bis # 5 - 53 Piso 9 EDIFICIO LINK SIETE SESENTA
Bogotá
Distrito Capital de Bogotá
COLOMBIA</v>
          </cell>
          <cell r="CH35" t="str">
            <v>No definido</v>
          </cell>
          <cell r="CI35" t="str">
            <v>No definido</v>
          </cell>
          <cell r="CJ35" t="str">
            <v>No definido</v>
          </cell>
          <cell r="CK35" t="str">
            <v>No definido</v>
          </cell>
          <cell r="CL35" t="str">
            <v>No definido</v>
          </cell>
          <cell r="CM35" t="str">
            <v>No</v>
          </cell>
          <cell r="CN35" t="str">
            <v/>
          </cell>
          <cell r="CO35" t="str">
            <v/>
          </cell>
          <cell r="CP35" t="str">
            <v/>
          </cell>
          <cell r="CQ35" t="str">
            <v/>
          </cell>
        </row>
        <row r="36">
          <cell r="A36" t="str">
            <v>COMISIÓN DE REGULACIÓN DE COMUNICACIONES</v>
          </cell>
          <cell r="B36" t="str">
            <v>830,002,593</v>
          </cell>
          <cell r="C36" t="str">
            <v>Distrito Capital de Bogotá</v>
          </cell>
          <cell r="D36" t="str">
            <v>Bogotá</v>
          </cell>
          <cell r="E36" t="str">
            <v>Colombia, Bogotá,  Bogotá</v>
          </cell>
          <cell r="F36" t="str">
            <v>Nacional</v>
          </cell>
          <cell r="G36" t="str">
            <v>Tecnologías de la Información y las Comunicaciones</v>
          </cell>
          <cell r="H36" t="str">
            <v>Ejecutivo</v>
          </cell>
          <cell r="I36" t="str">
            <v>Centralizada</v>
          </cell>
          <cell r="J36" t="str">
            <v>CO1.BDOS.9291746</v>
          </cell>
          <cell r="K36" t="str">
            <v>CO1.PCCNTR.8862075</v>
          </cell>
          <cell r="L36" t="str">
            <v>CONTRATO 42 DE 2026</v>
          </cell>
          <cell r="M36" t="str">
            <v>En ejecución</v>
          </cell>
          <cell r="N36" t="str">
            <v>V1.82131602</v>
          </cell>
          <cell r="O36" t="str">
            <v>Prestar servicios profesionales para apoyar las estrategias de pedagogía regulatoria y de alfabetización mediática 2026 de la CRC; mediante la conceptualización; producción y entrega de piezas y contenidos gráficos y audiovisuales con fines educativos y de difusión; garantizando calidad técnica; coh</v>
          </cell>
          <cell r="P36" t="str">
            <v>Prestación de servicios</v>
          </cell>
          <cell r="Q36" t="str">
            <v>Contratación directa</v>
          </cell>
          <cell r="R36" t="str">
            <v>Servicios profesionales y apoyo a la gestión</v>
          </cell>
          <cell r="S36" t="str">
            <v>01/14/2026</v>
          </cell>
          <cell r="T36" t="str">
            <v>01/16/2026</v>
          </cell>
          <cell r="U36" t="str">
            <v>12/31/2026</v>
          </cell>
          <cell r="V36" t="str">
            <v>NXTWY.DLVY.6</v>
          </cell>
          <cell r="W36" t="str">
            <v>Cédula de Ciudadanía</v>
          </cell>
          <cell r="X36" t="str">
            <v>1019036888</v>
          </cell>
          <cell r="Y36" t="str">
            <v>Luisa Fernanda Tellez Silva</v>
          </cell>
          <cell r="Z36" t="str">
            <v>No</v>
          </cell>
          <cell r="AA36" t="str">
            <v>No</v>
          </cell>
          <cell r="AB36" t="str">
            <v>No</v>
          </cell>
          <cell r="AC36" t="str">
            <v>No</v>
          </cell>
          <cell r="AD36" t="str">
            <v>No</v>
          </cell>
          <cell r="AE36" t="str">
            <v>No</v>
          </cell>
          <cell r="AF36" t="str">
            <v>No</v>
          </cell>
          <cell r="AG36" t="str">
            <v>Distribuido</v>
          </cell>
          <cell r="AH36" t="str">
            <v>Inversión</v>
          </cell>
          <cell r="AI36" t="str">
            <v>$70,575,500</v>
          </cell>
          <cell r="AJ36">
            <v>0</v>
          </cell>
          <cell r="AK36" t="str">
            <v>$52,164,500</v>
          </cell>
          <cell r="AL36" t="str">
            <v>$18,411,000</v>
          </cell>
          <cell r="AM36" t="str">
            <v>$52,164,500</v>
          </cell>
          <cell r="AN36">
            <v>0</v>
          </cell>
          <cell r="AO36">
            <v>0</v>
          </cell>
          <cell r="AP36" t="str">
            <v>$18,411,000</v>
          </cell>
          <cell r="AQ36" t="str">
            <v>$70,575,500</v>
          </cell>
          <cell r="AR36">
            <v>0</v>
          </cell>
          <cell r="AS36" t="str">
            <v>No</v>
          </cell>
          <cell r="AT36">
            <v>0</v>
          </cell>
          <cell r="AU36" t="str">
            <v>No aplica</v>
          </cell>
          <cell r="AV36" t="str">
            <v>No aplica</v>
          </cell>
          <cell r="AW36" t="str">
            <v>https://community.secop.gov.co/Public/Tendering/OpportunityDetail/Index?noticeUID=CO1.NTC.9487937&amp;isFromPublicArea=True&amp;isModal=true&amp;asPopupView=true</v>
          </cell>
          <cell r="AX36" t="str">
            <v>Luisa Tellez</v>
          </cell>
          <cell r="AY36" t="str">
            <v>CO</v>
          </cell>
          <cell r="AZ36" t="str">
            <v>No Definido</v>
          </cell>
          <cell r="BA36" t="str">
            <v>Cédula de Ciudadanía</v>
          </cell>
          <cell r="BB36" t="str">
            <v>1019036888</v>
          </cell>
          <cell r="BC36" t="str">
            <v>Mujer</v>
          </cell>
          <cell r="BD36" t="str">
            <v>$70,575,500</v>
          </cell>
          <cell r="BE36">
            <v>0</v>
          </cell>
          <cell r="BF36">
            <v>0</v>
          </cell>
          <cell r="BG36">
            <v>0</v>
          </cell>
          <cell r="BH36">
            <v>0</v>
          </cell>
          <cell r="BI36">
            <v>0</v>
          </cell>
          <cell r="BK36" t="str">
            <v>700,149,040</v>
          </cell>
          <cell r="BL36">
            <v>712134147</v>
          </cell>
          <cell r="BM36" t="str">
            <v/>
          </cell>
          <cell r="BO36" t="str">
            <v>Prestar servicios profesionales para apoyar las estrategias de pedagogía regulatoria y de alfabetización mediática 2026 de la CRC; mediante la conceptualización; producción y entrega de piezas y contenidos gráficos y audiovisuales con fines educativos y de difusión; garantizando calidad técnica; coherencia con la identidad visual; accesibilidad y comunicación inclusiva; utilizando sus propios equipos y actuando con autonomía profesional</v>
          </cell>
          <cell r="BP36" t="str">
            <v>345 Dia(s)</v>
          </cell>
          <cell r="BQ36" t="str">
            <v>No definido</v>
          </cell>
          <cell r="BR36" t="str">
            <v>No Definido</v>
          </cell>
          <cell r="BS36" t="str">
            <v>No definido</v>
          </cell>
          <cell r="BT36" t="str">
            <v>No</v>
          </cell>
          <cell r="BU36" t="str">
            <v/>
          </cell>
          <cell r="BV36" t="str">
            <v>Zoila Consuelo Vargas Mesa</v>
          </cell>
          <cell r="BW36" t="str">
            <v>Cédula de Ciudadanía</v>
          </cell>
          <cell r="BX36" t="str">
            <v>46360403</v>
          </cell>
          <cell r="BY36" t="str">
            <v>Ricardo Ramirez Hernandez</v>
          </cell>
          <cell r="BZ36" t="str">
            <v>Cédula de Ciudadanía</v>
          </cell>
          <cell r="CA36" t="str">
            <v>79444533</v>
          </cell>
          <cell r="CB36" t="str">
            <v>No definido</v>
          </cell>
          <cell r="CC36" t="str">
            <v>No definido</v>
          </cell>
          <cell r="CD36" t="str">
            <v>No definido</v>
          </cell>
          <cell r="CE36" t="str">
            <v>No</v>
          </cell>
          <cell r="CF36" t="str">
            <v>No definido</v>
          </cell>
          <cell r="CG36" t="str">
            <v>Calle 59 a Bis # 5 - 53 Piso 9 EDIFICIO LINK SIETE SESENTA
Bogotá
Distrito Capital de Bogotá
COLOMBIA</v>
          </cell>
          <cell r="CH36" t="str">
            <v>No definido</v>
          </cell>
          <cell r="CI36" t="str">
            <v>No definido</v>
          </cell>
          <cell r="CJ36" t="str">
            <v>No definido</v>
          </cell>
          <cell r="CK36" t="str">
            <v>No definido</v>
          </cell>
          <cell r="CL36" t="str">
            <v>No definido</v>
          </cell>
          <cell r="CM36" t="str">
            <v>No</v>
          </cell>
          <cell r="CN36" t="str">
            <v/>
          </cell>
          <cell r="CO36" t="str">
            <v/>
          </cell>
          <cell r="CP36" t="str">
            <v/>
          </cell>
          <cell r="CQ36" t="str">
            <v/>
          </cell>
        </row>
        <row r="37">
          <cell r="A37" t="str">
            <v>COMISIÓN DE REGULACIÓN DE COMUNICACIONES</v>
          </cell>
          <cell r="B37" t="str">
            <v>830,002,593</v>
          </cell>
          <cell r="C37" t="str">
            <v>Distrito Capital de Bogotá</v>
          </cell>
          <cell r="D37" t="str">
            <v>Bogotá</v>
          </cell>
          <cell r="E37" t="str">
            <v>Colombia, Bogotá,  Bogotá</v>
          </cell>
          <cell r="F37" t="str">
            <v>Nacional</v>
          </cell>
          <cell r="G37" t="str">
            <v>Tecnologías de la Información y las Comunicaciones</v>
          </cell>
          <cell r="H37" t="str">
            <v>Ejecutivo</v>
          </cell>
          <cell r="I37" t="str">
            <v>Centralizada</v>
          </cell>
          <cell r="J37" t="str">
            <v>CO1.BDOS.10413917</v>
          </cell>
          <cell r="K37" t="str">
            <v>CO1.PCCNTR.9764113</v>
          </cell>
          <cell r="L37" t="str">
            <v>CONTRATO 88 DE 2026</v>
          </cell>
          <cell r="M37" t="str">
            <v>En ejecución</v>
          </cell>
          <cell r="N37" t="str">
            <v>V1.78181501</v>
          </cell>
          <cell r="O37" t="str">
            <v>Mantenimiento preventivo y correctivo para los vehículos de la Comisión de Regulación de Comunicaciones; incluyendo suministro de insumos y otros servicios</v>
          </cell>
          <cell r="P37" t="str">
            <v>Prestación de servicios</v>
          </cell>
          <cell r="Q37" t="str">
            <v>Mínima cuantía</v>
          </cell>
          <cell r="R37" t="str">
            <v>Presupuesto inferior al 10% de la menor cuantía</v>
          </cell>
          <cell r="S37" t="str">
            <v>08/05/2026</v>
          </cell>
          <cell r="T37" t="str">
            <v>08/20/2026</v>
          </cell>
          <cell r="U37" t="str">
            <v>12/31/2026</v>
          </cell>
          <cell r="V37" t="str">
            <v>NXTWY.DLVY.6</v>
          </cell>
          <cell r="W37" t="str">
            <v>NIT</v>
          </cell>
          <cell r="X37" t="str">
            <v>800250589</v>
          </cell>
          <cell r="Y37" t="str">
            <v>CENTRO CAR 19 LTDA</v>
          </cell>
          <cell r="Z37" t="str">
            <v>No</v>
          </cell>
          <cell r="AA37" t="str">
            <v>Si</v>
          </cell>
          <cell r="AB37" t="str">
            <v>No</v>
          </cell>
          <cell r="AC37" t="str">
            <v>Si</v>
          </cell>
          <cell r="AD37" t="str">
            <v>No</v>
          </cell>
          <cell r="AE37" t="str">
            <v>No</v>
          </cell>
          <cell r="AF37" t="str">
            <v>No</v>
          </cell>
          <cell r="AG37" t="str">
            <v>Distribuido</v>
          </cell>
          <cell r="AH37" t="str">
            <v>Funcionamiento</v>
          </cell>
          <cell r="AI37" t="str">
            <v>$9,987,981</v>
          </cell>
          <cell r="AJ37">
            <v>0</v>
          </cell>
          <cell r="AK37" t="str">
            <v>$0</v>
          </cell>
          <cell r="AL37" t="str">
            <v>$9,987,981</v>
          </cell>
          <cell r="AM37" t="str">
            <v>$0</v>
          </cell>
          <cell r="AN37">
            <v>0</v>
          </cell>
          <cell r="AO37">
            <v>0</v>
          </cell>
          <cell r="AP37" t="str">
            <v>$9,987,981</v>
          </cell>
          <cell r="AQ37" t="str">
            <v>$9,987,981</v>
          </cell>
          <cell r="AR37">
            <v>0</v>
          </cell>
          <cell r="AS37" t="str">
            <v>No</v>
          </cell>
          <cell r="AT37">
            <v>0</v>
          </cell>
          <cell r="AU37" t="str">
            <v>No aplica</v>
          </cell>
          <cell r="AV37" t="str">
            <v>No aplica</v>
          </cell>
          <cell r="AW37" t="str">
            <v>https://community.secop.gov.co/Public/Tendering/OpportunityDetail/Index?noticeUID=CO1.NTC.10451115&amp;isFromPublicArea=True&amp;isModal=true&amp;asPopupView=true</v>
          </cell>
          <cell r="AX37" t="str">
            <v>FABIO VINICIO TAMAYO TAMAYO</v>
          </cell>
          <cell r="AY37" t="str">
            <v>CO</v>
          </cell>
          <cell r="AZ37" t="str">
            <v>No Definido</v>
          </cell>
          <cell r="BA37" t="str">
            <v>Sin Descripcion</v>
          </cell>
          <cell r="BB37" t="str">
            <v>Sin Descripcion</v>
          </cell>
          <cell r="BC37" t="str">
            <v>Mujer</v>
          </cell>
          <cell r="BD37" t="str">
            <v>$9,987,981</v>
          </cell>
          <cell r="BE37">
            <v>0</v>
          </cell>
          <cell r="BF37">
            <v>0</v>
          </cell>
          <cell r="BG37">
            <v>0</v>
          </cell>
          <cell r="BH37">
            <v>0</v>
          </cell>
          <cell r="BI37">
            <v>0</v>
          </cell>
          <cell r="BK37" t="str">
            <v>700,149,040</v>
          </cell>
          <cell r="BL37">
            <v>701909103</v>
          </cell>
          <cell r="BM37" t="str">
            <v>2027 Jan 01 12:00:00 AM</v>
          </cell>
          <cell r="BN37">
            <v>47603</v>
          </cell>
          <cell r="BO37" t="str">
            <v>Mantenimiento preventivo y correctivo para los vehículos de la Comisión de Regulación de Comunicaciones; incluyendo suministro de insumos y otros servicios</v>
          </cell>
          <cell r="BP37" t="str">
            <v>156 Dia(s)</v>
          </cell>
          <cell r="BQ37" t="str">
            <v>No definido</v>
          </cell>
          <cell r="BR37" t="str">
            <v>No Definido</v>
          </cell>
          <cell r="BS37" t="str">
            <v>No definido</v>
          </cell>
          <cell r="BT37" t="str">
            <v>No</v>
          </cell>
          <cell r="BU37" t="str">
            <v/>
          </cell>
          <cell r="BV37" t="str">
            <v>No definido</v>
          </cell>
          <cell r="BW37" t="str">
            <v>No definido</v>
          </cell>
          <cell r="BX37" t="str">
            <v>No definido</v>
          </cell>
          <cell r="BY37" t="str">
            <v>No definido</v>
          </cell>
          <cell r="BZ37" t="str">
            <v>No definido</v>
          </cell>
          <cell r="CA37" t="str">
            <v>No definido</v>
          </cell>
          <cell r="CB37" t="str">
            <v>No definido</v>
          </cell>
          <cell r="CC37" t="str">
            <v>No definido</v>
          </cell>
          <cell r="CD37" t="str">
            <v>No definido</v>
          </cell>
          <cell r="CE37" t="str">
            <v>No</v>
          </cell>
          <cell r="CF37" t="str">
            <v>No definido</v>
          </cell>
          <cell r="CG37" t="str">
            <v>Calle 59 a Bis # 5 - 53 Piso 9 EDIFICIO LINK SIETE SESENTA
Bogotá
Distrito Capital de Bogotá
COLOMBIA</v>
          </cell>
          <cell r="CH37" t="str">
            <v>No definido</v>
          </cell>
          <cell r="CI37" t="str">
            <v>No definido</v>
          </cell>
          <cell r="CJ37" t="str">
            <v>No definido</v>
          </cell>
          <cell r="CK37" t="str">
            <v>No definido</v>
          </cell>
          <cell r="CL37" t="str">
            <v>No definido</v>
          </cell>
          <cell r="CM37" t="str">
            <v>No</v>
          </cell>
          <cell r="CN37" t="str">
            <v/>
          </cell>
          <cell r="CO37" t="str">
            <v/>
          </cell>
          <cell r="CP37" t="str">
            <v/>
          </cell>
          <cell r="CQ37" t="str">
            <v/>
          </cell>
        </row>
        <row r="38">
          <cell r="A38" t="str">
            <v>COMISIÓN DE REGULACIÓN DE COMUNICACIONES</v>
          </cell>
          <cell r="B38" t="str">
            <v>830,002,593</v>
          </cell>
          <cell r="C38" t="str">
            <v>Distrito Capital de Bogotá</v>
          </cell>
          <cell r="D38" t="str">
            <v>Bogotá</v>
          </cell>
          <cell r="E38" t="str">
            <v>Colombia, Bogotá,  Bogotá</v>
          </cell>
          <cell r="F38" t="str">
            <v>Nacional</v>
          </cell>
          <cell r="G38" t="str">
            <v>Tecnologías de la Información y las Comunicaciones</v>
          </cell>
          <cell r="H38" t="str">
            <v>Ejecutivo</v>
          </cell>
          <cell r="I38" t="str">
            <v>Centralizada</v>
          </cell>
          <cell r="J38" t="str">
            <v>CO1.BDOS.9302014</v>
          </cell>
          <cell r="K38" t="str">
            <v>CO1.PCCNTR.9326222</v>
          </cell>
          <cell r="L38" t="str">
            <v>CONTRATO 58 DE 2026</v>
          </cell>
          <cell r="M38" t="str">
            <v>En ejecución</v>
          </cell>
          <cell r="N38" t="str">
            <v>V1.80111612</v>
          </cell>
          <cell r="O38" t="str">
            <v>EL CONTRATISTA se obliga con LA COMISIÓN a la prestación de los servicios de conductor de reemplazo para la Comisión de Regulación de Comunicaciones - CRC; en los casos que la entidad lo requiera; durante el 2026; de conformidad con la Invitación Pública No. 48 de 2026 y la oferta presentada por el</v>
          </cell>
          <cell r="P38" t="str">
            <v>Prestación de servicios</v>
          </cell>
          <cell r="Q38" t="str">
            <v>Mínima cuantía</v>
          </cell>
          <cell r="R38" t="str">
            <v>Presupuesto inferior al 10% de la menor cuantía</v>
          </cell>
          <cell r="S38" t="str">
            <v>02/09/2026</v>
          </cell>
          <cell r="T38" t="str">
            <v>02/11/2026</v>
          </cell>
          <cell r="U38" t="str">
            <v>12/15/2026</v>
          </cell>
          <cell r="V38" t="str">
            <v>NXTWY.DLVY.6</v>
          </cell>
          <cell r="W38" t="str">
            <v>NIT</v>
          </cell>
          <cell r="X38" t="str">
            <v>900777884</v>
          </cell>
          <cell r="Y38" t="str">
            <v>ORG IGP SAS</v>
          </cell>
          <cell r="Z38" t="str">
            <v>No</v>
          </cell>
          <cell r="AA38" t="str">
            <v>Si</v>
          </cell>
          <cell r="AB38" t="str">
            <v>No</v>
          </cell>
          <cell r="AC38" t="str">
            <v>Si</v>
          </cell>
          <cell r="AD38" t="str">
            <v>No</v>
          </cell>
          <cell r="AE38" t="str">
            <v>No</v>
          </cell>
          <cell r="AF38" t="str">
            <v>No</v>
          </cell>
          <cell r="AG38" t="str">
            <v>Distribuido</v>
          </cell>
          <cell r="AH38" t="str">
            <v>Funcionamiento</v>
          </cell>
          <cell r="AI38" t="str">
            <v>$11,828,210.46</v>
          </cell>
          <cell r="AJ38">
            <v>0</v>
          </cell>
          <cell r="AK38" t="str">
            <v>$7,361,524.81</v>
          </cell>
          <cell r="AL38" t="str">
            <v>$8,010,924.36</v>
          </cell>
          <cell r="AM38" t="str">
            <v>$3,817,286.1</v>
          </cell>
          <cell r="AN38">
            <v>0</v>
          </cell>
          <cell r="AO38">
            <v>0</v>
          </cell>
          <cell r="AP38" t="str">
            <v>$8,010,924.36</v>
          </cell>
          <cell r="AQ38" t="str">
            <v>$0</v>
          </cell>
          <cell r="AR38">
            <v>0</v>
          </cell>
          <cell r="AS38" t="str">
            <v>No</v>
          </cell>
          <cell r="AT38">
            <v>0</v>
          </cell>
          <cell r="AU38" t="str">
            <v>No aplica</v>
          </cell>
          <cell r="AV38" t="str">
            <v>No aplica</v>
          </cell>
          <cell r="AW38" t="str">
            <v>https://community.secop.gov.co/Public/Tendering/OpportunityDetail/Index?noticeUID=CO1.NTC.9516591&amp;isFromPublicArea=True&amp;isModal=true&amp;asPopupView=true</v>
          </cell>
          <cell r="AX38" t="str">
            <v>Daniel Alexander Guaumen Piñeros</v>
          </cell>
          <cell r="AY38" t="str">
            <v>CO</v>
          </cell>
          <cell r="AZ38" t="str">
            <v>No Definido</v>
          </cell>
          <cell r="BA38" t="str">
            <v>Sin Descripcion</v>
          </cell>
          <cell r="BB38" t="str">
            <v>Sin Descripcion</v>
          </cell>
          <cell r="BC38" t="str">
            <v>Hombre</v>
          </cell>
          <cell r="BD38" t="str">
            <v>$11,828,210</v>
          </cell>
          <cell r="BE38">
            <v>0</v>
          </cell>
          <cell r="BF38">
            <v>0</v>
          </cell>
          <cell r="BG38">
            <v>0</v>
          </cell>
          <cell r="BH38">
            <v>0</v>
          </cell>
          <cell r="BI38">
            <v>0</v>
          </cell>
          <cell r="BK38" t="str">
            <v>700,149,040</v>
          </cell>
          <cell r="BL38">
            <v>715411559</v>
          </cell>
          <cell r="BM38" t="str">
            <v>2027 Feb 02 12:00:00 AM</v>
          </cell>
          <cell r="BN38">
            <v>47636</v>
          </cell>
          <cell r="BO38" t="str">
            <v>EL CONTRATISTA se obliga con LA COMISIÓN a la prestación de los servicios de conductor de reemplazo para la Comisión de Regulación de Comunicaciones - CRC; en los casos que la entidad lo requiera; durante el 2026; de conformidad con la Invitación Pública No. 48 de 2026 y la oferta presentada por el contratista que forman parte integral del presente contrato</v>
          </cell>
          <cell r="BP38" t="str">
            <v>316 Dia(s)</v>
          </cell>
          <cell r="BQ38" t="str">
            <v>No definido</v>
          </cell>
          <cell r="BR38" t="str">
            <v>No Definido</v>
          </cell>
          <cell r="BS38" t="str">
            <v>No definido</v>
          </cell>
          <cell r="BT38" t="str">
            <v>No</v>
          </cell>
          <cell r="BU38" t="str">
            <v/>
          </cell>
          <cell r="BV38" t="str">
            <v>DIANA WILCHES</v>
          </cell>
          <cell r="BW38" t="str">
            <v>Cédula de Ciudadanía</v>
          </cell>
          <cell r="BX38" t="str">
            <v>40049758</v>
          </cell>
          <cell r="BY38" t="str">
            <v>Martha Valenzuela</v>
          </cell>
          <cell r="BZ38" t="str">
            <v>Cédula de Ciudadanía</v>
          </cell>
          <cell r="CA38" t="str">
            <v>52030345</v>
          </cell>
          <cell r="CB38" t="str">
            <v>No definido</v>
          </cell>
          <cell r="CC38" t="str">
            <v>No definido</v>
          </cell>
          <cell r="CD38" t="str">
            <v>No definido</v>
          </cell>
          <cell r="CE38" t="str">
            <v>No</v>
          </cell>
          <cell r="CF38" t="str">
            <v>No definido</v>
          </cell>
          <cell r="CG38" t="str">
            <v>Calle 59 a Bis # 5 - 53 Piso 9 EDIFICIO LINK SIETE SESENTA
Bogotá
Distrito Capital de Bogotá
COLOMBIA</v>
          </cell>
          <cell r="CH38" t="str">
            <v>No definido</v>
          </cell>
          <cell r="CI38" t="str">
            <v>No definido</v>
          </cell>
          <cell r="CJ38" t="str">
            <v>No definido</v>
          </cell>
          <cell r="CK38" t="str">
            <v>No definido</v>
          </cell>
          <cell r="CL38" t="str">
            <v>No definido</v>
          </cell>
          <cell r="CM38" t="str">
            <v>No</v>
          </cell>
          <cell r="CN38" t="str">
            <v/>
          </cell>
          <cell r="CO38" t="str">
            <v/>
          </cell>
          <cell r="CP38" t="str">
            <v/>
          </cell>
          <cell r="CQ38" t="str">
            <v/>
          </cell>
        </row>
        <row r="39">
          <cell r="A39" t="str">
            <v>COMISIÓN DE REGULACIÓN DE COMUNICACIONES</v>
          </cell>
          <cell r="B39" t="str">
            <v>830,002,593</v>
          </cell>
          <cell r="C39" t="str">
            <v>Distrito Capital de Bogotá</v>
          </cell>
          <cell r="D39" t="str">
            <v>Bogotá</v>
          </cell>
          <cell r="E39" t="str">
            <v>Colombia, Bogotá,  Bogotá</v>
          </cell>
          <cell r="F39" t="str">
            <v>Nacional</v>
          </cell>
          <cell r="G39" t="str">
            <v>Tecnologías de la Información y las Comunicaciones</v>
          </cell>
          <cell r="H39" t="str">
            <v>Ejecutivo</v>
          </cell>
          <cell r="I39" t="str">
            <v>Centralizada</v>
          </cell>
          <cell r="J39" t="str">
            <v>CO1.BDOS.9999712</v>
          </cell>
          <cell r="K39" t="str">
            <v>CO1.PCCNTR.9495311</v>
          </cell>
          <cell r="L39" t="str">
            <v>CONTRATO 72 DE 2026</v>
          </cell>
          <cell r="M39" t="str">
            <v>En ejecución</v>
          </cell>
          <cell r="N39" t="str">
            <v>V1.90101603</v>
          </cell>
          <cell r="O39" t="str">
            <v>PRESTACIÓN INTEGRAL DE SERVICIOS COMO OPERADOR LOGÍSTICO PARA LA PLANEACIÓN; ORGANIZACIÓN; OPERACIÓN Y EJECUCIÓN DE EVENTOS INSTITUCIONALES; TANTO PRESENCIALES COMO; HÍBRIDOS Y VIRTUALES; NECESARIOS PARA EL CUMPLIMIENTO DE LAS FUNCIONES ASIGNADAS A LA COMISIÓN DE REGULACIÓN DE COMUNICACIONES (CRC) D</v>
          </cell>
          <cell r="P39" t="str">
            <v>Prestación de servicios</v>
          </cell>
          <cell r="Q39" t="str">
            <v>Licitación pública</v>
          </cell>
          <cell r="R39" t="str">
            <v>Ley 1150 de 2007</v>
          </cell>
          <cell r="S39" t="str">
            <v>05/06/2026</v>
          </cell>
          <cell r="T39" t="str">
            <v>05/08/2026</v>
          </cell>
          <cell r="U39" t="str">
            <v>12/18/2026</v>
          </cell>
          <cell r="V39" t="str">
            <v>NXTWY.DLVY.6</v>
          </cell>
          <cell r="W39" t="str">
            <v>NIT</v>
          </cell>
          <cell r="X39" t="str">
            <v>900075108</v>
          </cell>
          <cell r="Y39" t="str">
            <v>IMAGROUP COLOMBIA S.A.S</v>
          </cell>
          <cell r="Z39" t="str">
            <v>No</v>
          </cell>
          <cell r="AA39" t="str">
            <v>Si</v>
          </cell>
          <cell r="AB39" t="str">
            <v>No</v>
          </cell>
          <cell r="AC39" t="str">
            <v>Si</v>
          </cell>
          <cell r="AD39" t="str">
            <v>No</v>
          </cell>
          <cell r="AE39" t="str">
            <v>No</v>
          </cell>
          <cell r="AF39" t="str">
            <v>No</v>
          </cell>
          <cell r="AG39" t="str">
            <v>Distribuido</v>
          </cell>
          <cell r="AH39" t="str">
            <v>Inversión</v>
          </cell>
          <cell r="AI39" t="str">
            <v>$1,200,000,000</v>
          </cell>
          <cell r="AJ39">
            <v>0</v>
          </cell>
          <cell r="AK39" t="str">
            <v>$500,680,359</v>
          </cell>
          <cell r="AL39" t="str">
            <v>$700,834,768</v>
          </cell>
          <cell r="AM39" t="str">
            <v>$499,165,232</v>
          </cell>
          <cell r="AN39">
            <v>0</v>
          </cell>
          <cell r="AO39">
            <v>0</v>
          </cell>
          <cell r="AP39" t="str">
            <v>$700,834,768</v>
          </cell>
          <cell r="AQ39" t="str">
            <v>$1,200,000,000</v>
          </cell>
          <cell r="AR39">
            <v>0</v>
          </cell>
          <cell r="AS39" t="str">
            <v>No</v>
          </cell>
          <cell r="AT39">
            <v>0</v>
          </cell>
          <cell r="AU39" t="str">
            <v>No aplica</v>
          </cell>
          <cell r="AV39" t="str">
            <v>No aplica</v>
          </cell>
          <cell r="AW39" t="str">
            <v>https://community.secop.gov.co/Public/Tendering/OpportunityDetail/Index?noticeUID=CO1.NTC.10112609&amp;isFromPublicArea=True&amp;isModal=true&amp;asPopupView=true</v>
          </cell>
          <cell r="AX39" t="str">
            <v>JUAN ESTEBAN TABORDA</v>
          </cell>
          <cell r="AY39" t="str">
            <v>CO</v>
          </cell>
          <cell r="AZ39" t="str">
            <v>CALLE 42 B 63  C 20</v>
          </cell>
          <cell r="BA39" t="str">
            <v>Sin Descripcion</v>
          </cell>
          <cell r="BB39" t="str">
            <v>Sin Descripcion</v>
          </cell>
          <cell r="BC39" t="str">
            <v>No Definido</v>
          </cell>
          <cell r="BD39" t="str">
            <v>$1,200,000,000</v>
          </cell>
          <cell r="BE39">
            <v>0</v>
          </cell>
          <cell r="BF39">
            <v>0</v>
          </cell>
          <cell r="BG39">
            <v>0</v>
          </cell>
          <cell r="BH39">
            <v>0</v>
          </cell>
          <cell r="BI39">
            <v>0</v>
          </cell>
          <cell r="BK39" t="str">
            <v>700,149,040</v>
          </cell>
          <cell r="BL39">
            <v>703353227</v>
          </cell>
          <cell r="BM39" t="str">
            <v>2026 Dec 18 12:00:00 AM</v>
          </cell>
          <cell r="BN39">
            <v>47591</v>
          </cell>
          <cell r="BO39" t="str">
            <v>PRESTACIÓN INTEGRAL DE SERVICIOS COMO OPERADOR LOGÍSTICO PARA LA PLANEACIÓN; ORGANIZACIÓN; OPERACIÓN Y EJECUCIÓN DE EVENTOS INSTITUCIONALES; TANTO PRESENCIALES COMO; HÍBRIDOS Y VIRTUALES; NECESARIOS PARA EL CUMPLIMIENTO DE LAS FUNCIONES ASIGNADAS A LA COMISIÓN DE REGULACIÓN DE COMUNICACIONES (CRC) DURANTE EL AÑO 2026.</v>
          </cell>
          <cell r="BP39" t="str">
            <v>258 Dia(s)</v>
          </cell>
          <cell r="BQ39" t="str">
            <v>No definido</v>
          </cell>
          <cell r="BR39" t="str">
            <v>No Definido</v>
          </cell>
          <cell r="BS39" t="str">
            <v>No definido</v>
          </cell>
          <cell r="BT39" t="str">
            <v>No</v>
          </cell>
          <cell r="BU39" t="str">
            <v/>
          </cell>
          <cell r="BV39" t="str">
            <v>No definido</v>
          </cell>
          <cell r="BW39" t="str">
            <v>No definido</v>
          </cell>
          <cell r="BX39" t="str">
            <v>No definido</v>
          </cell>
          <cell r="BY39" t="str">
            <v>Mariana Sarmiento Arguello</v>
          </cell>
          <cell r="BZ39" t="str">
            <v>Cédula de Ciudadanía</v>
          </cell>
          <cell r="CA39" t="str">
            <v>52862292</v>
          </cell>
          <cell r="CB39" t="str">
            <v>No definido</v>
          </cell>
          <cell r="CC39" t="str">
            <v>No definido</v>
          </cell>
          <cell r="CD39" t="str">
            <v>No definido</v>
          </cell>
          <cell r="CE39" t="str">
            <v>No</v>
          </cell>
          <cell r="CF39" t="str">
            <v>No definido</v>
          </cell>
          <cell r="CG39" t="str">
            <v>Calle 59 a Bis # 5 - 53 Piso 9 EDIFICIO LINK SIETE SESENTA
Bogotá
Distrito Capital de Bogotá
COLOMBIA</v>
          </cell>
          <cell r="CH39" t="str">
            <v>No definido</v>
          </cell>
          <cell r="CI39" t="str">
            <v>No definido</v>
          </cell>
          <cell r="CJ39" t="str">
            <v>No definido</v>
          </cell>
          <cell r="CK39" t="str">
            <v>No definido</v>
          </cell>
          <cell r="CL39" t="str">
            <v>No definido</v>
          </cell>
          <cell r="CM39" t="str">
            <v>No</v>
          </cell>
          <cell r="CN39" t="str">
            <v/>
          </cell>
          <cell r="CO39" t="str">
            <v/>
          </cell>
          <cell r="CP39" t="str">
            <v/>
          </cell>
          <cell r="CQ39" t="str">
            <v/>
          </cell>
        </row>
        <row r="40">
          <cell r="A40" t="str">
            <v>COMISIÓN DE REGULACIÓN DE COMUNICACIONES</v>
          </cell>
          <cell r="B40" t="str">
            <v>830,002,593</v>
          </cell>
          <cell r="C40" t="str">
            <v>Distrito Capital de Bogotá</v>
          </cell>
          <cell r="D40" t="str">
            <v>Bogotá</v>
          </cell>
          <cell r="E40" t="str">
            <v>Colombia, Bogotá,  Bogotá</v>
          </cell>
          <cell r="F40" t="str">
            <v>Nacional</v>
          </cell>
          <cell r="G40" t="str">
            <v>Tecnologías de la Información y las Comunicaciones</v>
          </cell>
          <cell r="H40" t="str">
            <v>Ejecutivo</v>
          </cell>
          <cell r="I40" t="str">
            <v>Centralizada</v>
          </cell>
          <cell r="J40" t="str">
            <v>CO1.BDOS.9290977</v>
          </cell>
          <cell r="K40" t="str">
            <v>CO1.PCCNTR.8861067</v>
          </cell>
          <cell r="L40" t="str">
            <v>CONTRATO 24 DE 2026</v>
          </cell>
          <cell r="M40" t="str">
            <v>En ejecución</v>
          </cell>
          <cell r="N40" t="str">
            <v>V1.80121601</v>
          </cell>
          <cell r="O40" t="str">
            <v>Brindar apoyo jurídico en el desarrollo de actividades misionales de la CRC; principalmente las asociadas a la revisión del marco regulatorio sobre el pluralismo y la imparcialidad informativos; la reglamentación de la Ley 2489 de 2025; la implementación de acciones de inspección; vigilancia y contr</v>
          </cell>
          <cell r="P40" t="str">
            <v>Prestación de servicios</v>
          </cell>
          <cell r="Q40" t="str">
            <v>Contratación directa</v>
          </cell>
          <cell r="R40" t="str">
            <v>Servicios profesionales y apoyo a la gestión</v>
          </cell>
          <cell r="S40" t="str">
            <v>01/14/2026</v>
          </cell>
          <cell r="T40" t="str">
            <v>01/16/2026</v>
          </cell>
          <cell r="U40" t="str">
            <v>12/31/2026</v>
          </cell>
          <cell r="V40" t="str">
            <v>NXTWY.DLVY.6</v>
          </cell>
          <cell r="W40" t="str">
            <v>Cédula de Ciudadanía</v>
          </cell>
          <cell r="X40" t="str">
            <v>37088350</v>
          </cell>
          <cell r="Y40" t="str">
            <v>ANA BEATRIZ RUIZ ERASO</v>
          </cell>
          <cell r="Z40" t="str">
            <v>No</v>
          </cell>
          <cell r="AA40" t="str">
            <v>No</v>
          </cell>
          <cell r="AB40" t="str">
            <v>No</v>
          </cell>
          <cell r="AC40" t="str">
            <v>No</v>
          </cell>
          <cell r="AD40" t="str">
            <v>No</v>
          </cell>
          <cell r="AE40" t="str">
            <v>No</v>
          </cell>
          <cell r="AF40" t="str">
            <v>No</v>
          </cell>
          <cell r="AG40" t="str">
            <v>Distribuido</v>
          </cell>
          <cell r="AH40" t="str">
            <v>Inversión</v>
          </cell>
          <cell r="AI40" t="str">
            <v>$138,112,700</v>
          </cell>
          <cell r="AJ40">
            <v>0</v>
          </cell>
          <cell r="AK40" t="str">
            <v>$102,083,300</v>
          </cell>
          <cell r="AL40" t="str">
            <v>$36,029,400</v>
          </cell>
          <cell r="AM40" t="str">
            <v>$102,083,300</v>
          </cell>
          <cell r="AN40">
            <v>0</v>
          </cell>
          <cell r="AO40">
            <v>0</v>
          </cell>
          <cell r="AP40" t="str">
            <v>$36,029,400</v>
          </cell>
          <cell r="AQ40" t="str">
            <v>$138,112,700</v>
          </cell>
          <cell r="AR40">
            <v>0</v>
          </cell>
          <cell r="AS40" t="str">
            <v>No</v>
          </cell>
          <cell r="AT40">
            <v>0</v>
          </cell>
          <cell r="AU40" t="str">
            <v>No aplica</v>
          </cell>
          <cell r="AV40" t="str">
            <v>No aplica</v>
          </cell>
          <cell r="AW40" t="str">
            <v>https://community.secop.gov.co/Public/Tendering/OpportunityDetail/Index?noticeUID=CO1.NTC.9488101&amp;isFromPublicArea=True&amp;isModal=true&amp;asPopupView=true</v>
          </cell>
          <cell r="AX40" t="str">
            <v>ANA BEATRIZ RUIZ ERASO</v>
          </cell>
          <cell r="AY40" t="str">
            <v>CO</v>
          </cell>
          <cell r="AZ40" t="str">
            <v>CARRERA 6 # 57 - 44</v>
          </cell>
          <cell r="BA40" t="str">
            <v>Cédula de Ciudadanía</v>
          </cell>
          <cell r="BB40" t="str">
            <v>37088350</v>
          </cell>
          <cell r="BC40" t="str">
            <v>Mujer</v>
          </cell>
          <cell r="BD40" t="str">
            <v>$138,112,700</v>
          </cell>
          <cell r="BE40">
            <v>0</v>
          </cell>
          <cell r="BF40">
            <v>0</v>
          </cell>
          <cell r="BG40">
            <v>0</v>
          </cell>
          <cell r="BH40">
            <v>0</v>
          </cell>
          <cell r="BI40">
            <v>0</v>
          </cell>
          <cell r="BK40" t="str">
            <v>700,149,040</v>
          </cell>
          <cell r="BL40">
            <v>701511024</v>
          </cell>
          <cell r="BM40" t="str">
            <v/>
          </cell>
          <cell r="BO40" t="str">
            <v>Brindar apoyo jurídico en el desarrollo de actividades misionales de la CRC; principalmente las asociadas a la revisión del marco regulatorio sobre el pluralismo y la imparcialidad informativos; la reglamentación de la Ley 2489 de 2025; la implementación de acciones de inspección; vigilancia y control de contenidos y la protección de los derechos de los televidentes; en el marco de los proyectos contemplados en la Agenda Regulatoria y el Plan de Acción 2026</v>
          </cell>
          <cell r="BP40" t="str">
            <v>345 Dia(s)</v>
          </cell>
          <cell r="BQ40" t="str">
            <v>No definido</v>
          </cell>
          <cell r="BR40" t="str">
            <v>No Definido</v>
          </cell>
          <cell r="BS40" t="str">
            <v>No definido</v>
          </cell>
          <cell r="BT40" t="str">
            <v>No</v>
          </cell>
          <cell r="BU40" t="str">
            <v/>
          </cell>
          <cell r="BV40" t="str">
            <v>Zoila Consuelo Vargas Mesa</v>
          </cell>
          <cell r="BW40" t="str">
            <v>Cédula de Ciudadanía</v>
          </cell>
          <cell r="BX40" t="str">
            <v>46360403</v>
          </cell>
          <cell r="BY40" t="str">
            <v>Ricardo Ramirez Hernandez</v>
          </cell>
          <cell r="BZ40" t="str">
            <v>Cédula de Ciudadanía</v>
          </cell>
          <cell r="CA40" t="str">
            <v>79444533</v>
          </cell>
          <cell r="CB40" t="str">
            <v>No definido</v>
          </cell>
          <cell r="CC40" t="str">
            <v>No definido</v>
          </cell>
          <cell r="CD40" t="str">
            <v>No definido</v>
          </cell>
          <cell r="CE40" t="str">
            <v>No</v>
          </cell>
          <cell r="CF40" t="str">
            <v>No definido</v>
          </cell>
          <cell r="CG40" t="str">
            <v>Calle 59 a Bis # 5 - 53 Piso 9 EDIFICIO LINK SIETE SESENTA
Bogotá
Distrito Capital de Bogotá
COLOMBIA</v>
          </cell>
          <cell r="CH40" t="str">
            <v>No definido</v>
          </cell>
          <cell r="CI40" t="str">
            <v>No definido</v>
          </cell>
          <cell r="CJ40" t="str">
            <v>No definido</v>
          </cell>
          <cell r="CK40" t="str">
            <v>No definido</v>
          </cell>
          <cell r="CL40" t="str">
            <v>No definido</v>
          </cell>
          <cell r="CM40" t="str">
            <v>No</v>
          </cell>
          <cell r="CN40" t="str">
            <v/>
          </cell>
          <cell r="CO40" t="str">
            <v/>
          </cell>
          <cell r="CP40" t="str">
            <v/>
          </cell>
          <cell r="CQ40" t="str">
            <v/>
          </cell>
        </row>
        <row r="41">
          <cell r="A41" t="str">
            <v>COMISIÓN DE REGULACIÓN DE COMUNICACIONES</v>
          </cell>
          <cell r="B41" t="str">
            <v>830,002,593</v>
          </cell>
          <cell r="C41" t="str">
            <v>Distrito Capital de Bogotá</v>
          </cell>
          <cell r="D41" t="str">
            <v>Bogotá</v>
          </cell>
          <cell r="E41" t="str">
            <v>Colombia, Bogotá,  Bogotá</v>
          </cell>
          <cell r="F41" t="str">
            <v>Nacional</v>
          </cell>
          <cell r="G41" t="str">
            <v>Tecnologías de la Información y las Comunicaciones</v>
          </cell>
          <cell r="H41" t="str">
            <v>Ejecutivo</v>
          </cell>
          <cell r="I41" t="str">
            <v>Centralizada</v>
          </cell>
          <cell r="J41" t="str">
            <v>CO1.BDOS.9604199</v>
          </cell>
          <cell r="K41" t="str">
            <v>CO1.PCCNTR.9002827</v>
          </cell>
          <cell r="L41" t="str">
            <v>CONTRATO 54 DE 2026</v>
          </cell>
          <cell r="M41" t="str">
            <v>En ejecución</v>
          </cell>
          <cell r="N41" t="str">
            <v>V1.80121601</v>
          </cell>
          <cell r="O41" t="str">
            <v>Prestación de servicios profesionales para brindar apoyo jurídico especializado a la CRC en el 
desarrollo de sus actividades misionales; orientado principalmente al análisis; sustanciación y trámite 
de actuaciones administrativas; en especial en materia de solución de controversias; imposición de</v>
          </cell>
          <cell r="P41" t="str">
            <v>Prestación de servicios</v>
          </cell>
          <cell r="Q41" t="str">
            <v>Contratación directa</v>
          </cell>
          <cell r="R41" t="str">
            <v>Servicios profesionales y apoyo a la gestión</v>
          </cell>
          <cell r="S41" t="str">
            <v>01/20/2026</v>
          </cell>
          <cell r="T41" t="str">
            <v>01/21/2026</v>
          </cell>
          <cell r="U41" t="str">
            <v>12/31/2026</v>
          </cell>
          <cell r="V41" t="str">
            <v>NXTWY.DLVY.6</v>
          </cell>
          <cell r="W41" t="str">
            <v>Cédula de Ciudadanía</v>
          </cell>
          <cell r="X41" t="str">
            <v>1018431477</v>
          </cell>
          <cell r="Y41" t="str">
            <v>ADRIANA CAROLINA SANTISTEBAN GALAN</v>
          </cell>
          <cell r="Z41" t="str">
            <v>No</v>
          </cell>
          <cell r="AA41" t="str">
            <v>No</v>
          </cell>
          <cell r="AB41" t="str">
            <v>No</v>
          </cell>
          <cell r="AC41" t="str">
            <v>No</v>
          </cell>
          <cell r="AD41" t="str">
            <v>No</v>
          </cell>
          <cell r="AE41" t="str">
            <v>No</v>
          </cell>
          <cell r="AF41" t="str">
            <v>No</v>
          </cell>
          <cell r="AG41" t="str">
            <v>Distribuido</v>
          </cell>
          <cell r="AH41" t="str">
            <v>Inversión</v>
          </cell>
          <cell r="AI41" t="str">
            <v>$195,500,000</v>
          </cell>
          <cell r="AJ41">
            <v>0</v>
          </cell>
          <cell r="AK41" t="str">
            <v>$124,666,666</v>
          </cell>
          <cell r="AL41" t="str">
            <v>$87,833,334</v>
          </cell>
          <cell r="AM41" t="str">
            <v>$107,666,666</v>
          </cell>
          <cell r="AN41">
            <v>0</v>
          </cell>
          <cell r="AO41">
            <v>0</v>
          </cell>
          <cell r="AP41" t="str">
            <v>$87,833,334</v>
          </cell>
          <cell r="AQ41" t="str">
            <v>$195,500,000</v>
          </cell>
          <cell r="AR41">
            <v>0</v>
          </cell>
          <cell r="AS41" t="str">
            <v>No</v>
          </cell>
          <cell r="AT41">
            <v>0</v>
          </cell>
          <cell r="AU41" t="str">
            <v>No aplica</v>
          </cell>
          <cell r="AV41" t="str">
            <v>No aplica</v>
          </cell>
          <cell r="AW41" t="str">
            <v>https://community.secop.gov.co/Public/Tendering/OpportunityDetail/Index?noticeUID=CO1.NTC.9636199&amp;isFromPublicArea=True&amp;isModal=true&amp;asPopupView=true</v>
          </cell>
          <cell r="AX41" t="str">
            <v>Adriana Carolina Santisteban Galán</v>
          </cell>
          <cell r="AY41" t="str">
            <v>CO</v>
          </cell>
          <cell r="AZ41" t="str">
            <v>No Definido</v>
          </cell>
          <cell r="BA41" t="str">
            <v>Sin Descripcion</v>
          </cell>
          <cell r="BB41" t="str">
            <v>Sin Descripcion</v>
          </cell>
          <cell r="BC41" t="str">
            <v>No Definido</v>
          </cell>
          <cell r="BD41" t="str">
            <v>$195,500,000</v>
          </cell>
          <cell r="BE41">
            <v>0</v>
          </cell>
          <cell r="BF41">
            <v>0</v>
          </cell>
          <cell r="BG41">
            <v>0</v>
          </cell>
          <cell r="BH41">
            <v>0</v>
          </cell>
          <cell r="BI41">
            <v>0</v>
          </cell>
          <cell r="BK41" t="str">
            <v>700,149,040</v>
          </cell>
          <cell r="BL41">
            <v>701674053</v>
          </cell>
          <cell r="BM41" t="str">
            <v/>
          </cell>
          <cell r="BO41" t="str">
            <v>Prestación de servicios profesionales para brindar apoyo jurídico especializado a la CRC en el 
desarrollo de sus actividades misionales; orientado principalmente al análisis; sustanciación y trámite 
de actuaciones administrativas; en especial en materia de solución de controversias; imposición de 
servidumbres de acceso; uso e interconexión y actuaciones en contenidos audiovisuales; actuaciones 
de inspección; vigilancia y control en materia de contenidos audiovisuales; así como al 
acompañami</v>
          </cell>
          <cell r="BP41" t="str">
            <v>11 Mes(es)</v>
          </cell>
          <cell r="BQ41" t="str">
            <v>No definido</v>
          </cell>
          <cell r="BR41" t="str">
            <v>No Definido</v>
          </cell>
          <cell r="BS41" t="str">
            <v>No definido</v>
          </cell>
          <cell r="BT41" t="str">
            <v>No</v>
          </cell>
          <cell r="BU41" t="str">
            <v/>
          </cell>
          <cell r="BV41" t="str">
            <v>No definido</v>
          </cell>
          <cell r="BW41" t="str">
            <v>No definido</v>
          </cell>
          <cell r="BX41" t="str">
            <v>No definido</v>
          </cell>
          <cell r="BY41" t="str">
            <v>VICTOR ANDRES SANDOVAL PENA</v>
          </cell>
          <cell r="BZ41" t="str">
            <v>Cédula de Ciudadanía</v>
          </cell>
          <cell r="CA41" t="str">
            <v>1026264211</v>
          </cell>
          <cell r="CB41" t="str">
            <v>No definido</v>
          </cell>
          <cell r="CC41" t="str">
            <v>No definido</v>
          </cell>
          <cell r="CD41" t="str">
            <v>No definido</v>
          </cell>
          <cell r="CE41" t="str">
            <v>No</v>
          </cell>
          <cell r="CF41" t="str">
            <v>No definido</v>
          </cell>
          <cell r="CG41" t="str">
            <v>Calle 59 a Bis # 5 - 53 Piso 9 EDIFICIO LINK SIETE SESENTA
Bogotá
Distrito Capital de Bogotá
COLOMBIA</v>
          </cell>
          <cell r="CH41" t="str">
            <v>No definido</v>
          </cell>
          <cell r="CI41" t="str">
            <v>No definido</v>
          </cell>
          <cell r="CJ41" t="str">
            <v>No definido</v>
          </cell>
          <cell r="CK41" t="str">
            <v>No definido</v>
          </cell>
          <cell r="CL41" t="str">
            <v>No definido</v>
          </cell>
          <cell r="CM41" t="str">
            <v>No</v>
          </cell>
          <cell r="CN41" t="str">
            <v/>
          </cell>
          <cell r="CO41" t="str">
            <v/>
          </cell>
          <cell r="CP41" t="str">
            <v/>
          </cell>
          <cell r="CQ41" t="str">
            <v/>
          </cell>
        </row>
        <row r="42">
          <cell r="A42" t="str">
            <v>COMISIÓN DE REGULACIÓN DE COMUNICACIONES</v>
          </cell>
          <cell r="B42" t="str">
            <v>830,002,593</v>
          </cell>
          <cell r="C42" t="str">
            <v>Distrito Capital de Bogotá</v>
          </cell>
          <cell r="D42" t="str">
            <v>Bogotá</v>
          </cell>
          <cell r="E42" t="str">
            <v>Colombia, Bogotá,  Bogotá</v>
          </cell>
          <cell r="F42" t="str">
            <v>Nacional</v>
          </cell>
          <cell r="G42" t="str">
            <v>Tecnologías de la Información y las Comunicaciones</v>
          </cell>
          <cell r="H42" t="str">
            <v>Ejecutivo</v>
          </cell>
          <cell r="I42" t="str">
            <v>Centralizada</v>
          </cell>
          <cell r="J42" t="str">
            <v>CO1.BDOS.9324181</v>
          </cell>
          <cell r="K42" t="str">
            <v>CO1.PCCNTR.8896248</v>
          </cell>
          <cell r="L42" t="str">
            <v>CONTRATO 25 DE 2026</v>
          </cell>
          <cell r="M42" t="str">
            <v>En ejecución</v>
          </cell>
          <cell r="N42" t="str">
            <v>V1.81121500</v>
          </cell>
          <cell r="O42" t="str">
            <v>Prestación de servicios profesionales altamente especializados en materia de economía y regulación de mercados de telecomunicaciones; para apoyar la ejecución de proyectos del pilar estratégico Mercados y Competencia» de la Agenda Regulatoria 2026-2027; tales como la revisión de mercados fijos; tele</v>
          </cell>
          <cell r="P42" t="str">
            <v>Prestación de servicios</v>
          </cell>
          <cell r="Q42" t="str">
            <v>Contratación directa</v>
          </cell>
          <cell r="R42" t="str">
            <v>Servicios profesionales y apoyo a la gestión</v>
          </cell>
          <cell r="S42" t="str">
            <v>01/16/2026</v>
          </cell>
          <cell r="T42" t="str">
            <v>01/23/2026</v>
          </cell>
          <cell r="U42" t="str">
            <v>12/31/2026</v>
          </cell>
          <cell r="V42" t="str">
            <v>NXTWY.DLVY.6</v>
          </cell>
          <cell r="W42" t="str">
            <v>Cédula de Ciudadanía</v>
          </cell>
          <cell r="X42" t="str">
            <v>79782673</v>
          </cell>
          <cell r="Y42" t="str">
            <v>Guillermo Alberto Cruz Alemán</v>
          </cell>
          <cell r="Z42" t="str">
            <v>No</v>
          </cell>
          <cell r="AA42" t="str">
            <v>No</v>
          </cell>
          <cell r="AB42" t="str">
            <v>No</v>
          </cell>
          <cell r="AC42" t="str">
            <v>No</v>
          </cell>
          <cell r="AD42" t="str">
            <v>No</v>
          </cell>
          <cell r="AE42" t="str">
            <v>No</v>
          </cell>
          <cell r="AF42" t="str">
            <v>No</v>
          </cell>
          <cell r="AG42" t="str">
            <v>Distribuido</v>
          </cell>
          <cell r="AH42" t="str">
            <v>Inversión</v>
          </cell>
          <cell r="AI42" t="str">
            <v>$193,794,500</v>
          </cell>
          <cell r="AJ42">
            <v>0</v>
          </cell>
          <cell r="AK42" t="str">
            <v>$136,431,328</v>
          </cell>
          <cell r="AL42" t="str">
            <v>$57,363,172</v>
          </cell>
          <cell r="AM42" t="str">
            <v>$136,431,328</v>
          </cell>
          <cell r="AN42">
            <v>0</v>
          </cell>
          <cell r="AO42">
            <v>0</v>
          </cell>
          <cell r="AP42" t="str">
            <v>$57,363,172</v>
          </cell>
          <cell r="AQ42" t="str">
            <v>$193,794,500</v>
          </cell>
          <cell r="AR42">
            <v>0</v>
          </cell>
          <cell r="AS42" t="str">
            <v>No</v>
          </cell>
          <cell r="AT42">
            <v>0</v>
          </cell>
          <cell r="AU42" t="str">
            <v>No aplica</v>
          </cell>
          <cell r="AV42" t="str">
            <v>No aplica</v>
          </cell>
          <cell r="AW42" t="str">
            <v>https://community.secop.gov.co/Public/Tendering/OpportunityDetail/Index?noticeUID=CO1.NTC.9528964&amp;isFromPublicArea=True&amp;isModal=true&amp;asPopupView=true</v>
          </cell>
          <cell r="AX42" t="str">
            <v>Guillermo Alberto Cruz Alemán</v>
          </cell>
          <cell r="AY42" t="str">
            <v>CO</v>
          </cell>
          <cell r="AZ42" t="str">
            <v>No Definido</v>
          </cell>
          <cell r="BA42" t="str">
            <v>Sin Descripcion</v>
          </cell>
          <cell r="BB42" t="str">
            <v>Sin Descripcion</v>
          </cell>
          <cell r="BC42" t="str">
            <v>No Definido</v>
          </cell>
          <cell r="BD42" t="str">
            <v>$193,794,500</v>
          </cell>
          <cell r="BE42">
            <v>0</v>
          </cell>
          <cell r="BF42">
            <v>0</v>
          </cell>
          <cell r="BG42">
            <v>0</v>
          </cell>
          <cell r="BH42">
            <v>0</v>
          </cell>
          <cell r="BI42">
            <v>0</v>
          </cell>
          <cell r="BK42" t="str">
            <v>700,149,040</v>
          </cell>
          <cell r="BL42">
            <v>700864119</v>
          </cell>
          <cell r="BM42" t="str">
            <v/>
          </cell>
          <cell r="BO42" t="str">
            <v>Prestación de servicios profesionales altamente especializados en materia de economía y regulación de mercados de telecomunicaciones; para apoyar la ejecución de proyectos del pilar estratégico Mercados y Competencia» de la Agenda Regulatoria 2026-2027; tales como la revisión de mercados fijos; televisión y compartición de infraestructura; para contribuir en  el análisis de condiciones de competencia del mercado de Servicios Móviles</v>
          </cell>
          <cell r="BP42" t="str">
            <v>345 Dia(s)</v>
          </cell>
          <cell r="BQ42" t="str">
            <v>No definido</v>
          </cell>
          <cell r="BR42" t="str">
            <v>No Definido</v>
          </cell>
          <cell r="BS42" t="str">
            <v>No definido</v>
          </cell>
          <cell r="BT42" t="str">
            <v>No</v>
          </cell>
          <cell r="BU42" t="str">
            <v/>
          </cell>
          <cell r="BV42" t="str">
            <v>No definido</v>
          </cell>
          <cell r="BW42" t="str">
            <v>No definido</v>
          </cell>
          <cell r="BX42" t="str">
            <v>No definido</v>
          </cell>
          <cell r="BY42" t="str">
            <v>No definido</v>
          </cell>
          <cell r="BZ42" t="str">
            <v>No definido</v>
          </cell>
          <cell r="CA42" t="str">
            <v>No definido</v>
          </cell>
          <cell r="CB42" t="str">
            <v>No definido</v>
          </cell>
          <cell r="CC42" t="str">
            <v>No definido</v>
          </cell>
          <cell r="CD42" t="str">
            <v>No definido</v>
          </cell>
          <cell r="CE42" t="str">
            <v>No</v>
          </cell>
          <cell r="CF42" t="str">
            <v>No definido</v>
          </cell>
          <cell r="CG42" t="str">
            <v>Calle 59 a Bis # 5 - 53 Piso 9 EDIFICIO LINK SIETE SESENTA
Bogotá
Distrito Capital de Bogotá
COLOMBIA</v>
          </cell>
          <cell r="CH42" t="str">
            <v>No definido</v>
          </cell>
          <cell r="CI42" t="str">
            <v>No definido</v>
          </cell>
          <cell r="CJ42" t="str">
            <v>No definido</v>
          </cell>
          <cell r="CK42" t="str">
            <v>No definido</v>
          </cell>
          <cell r="CL42" t="str">
            <v>No definido</v>
          </cell>
          <cell r="CM42" t="str">
            <v>No</v>
          </cell>
          <cell r="CN42" t="str">
            <v/>
          </cell>
          <cell r="CO42" t="str">
            <v/>
          </cell>
          <cell r="CP42" t="str">
            <v/>
          </cell>
          <cell r="CQ42" t="str">
            <v/>
          </cell>
        </row>
        <row r="43">
          <cell r="A43" t="str">
            <v>COMISIÓN DE REGULACIÓN DE COMUNICACIONES</v>
          </cell>
          <cell r="B43" t="str">
            <v>830,002,593</v>
          </cell>
          <cell r="C43" t="str">
            <v>Distrito Capital de Bogotá</v>
          </cell>
          <cell r="D43" t="str">
            <v>Bogotá</v>
          </cell>
          <cell r="E43" t="str">
            <v>Colombia, Bogotá,  Bogotá</v>
          </cell>
          <cell r="F43" t="str">
            <v>Nacional</v>
          </cell>
          <cell r="G43" t="str">
            <v>Tecnologías de la Información y las Comunicaciones</v>
          </cell>
          <cell r="H43" t="str">
            <v>Ejecutivo</v>
          </cell>
          <cell r="I43" t="str">
            <v>Centralizada</v>
          </cell>
          <cell r="J43" t="str">
            <v>CO1.BDOS.9268481</v>
          </cell>
          <cell r="K43" t="str">
            <v>CO1.PCCNTR.8854740</v>
          </cell>
          <cell r="L43" t="str">
            <v>CONTRATO 01 DE 2026</v>
          </cell>
          <cell r="M43" t="str">
            <v>En ejecución</v>
          </cell>
          <cell r="N43" t="str">
            <v>V1.82131603</v>
          </cell>
          <cell r="O43" t="str">
            <v>Prestar servicios profesionales en realización y producción audiovisual; para apoyar la Estrategia de Comunicaciones 2026 de la CRC mediante la planeación; grabación; edición y entrega de contenidos institucionales y la cobertura de eventos; garantizando calidad técnica; coherencia con la identidad</v>
          </cell>
          <cell r="P43" t="str">
            <v>Prestación de servicios</v>
          </cell>
          <cell r="Q43" t="str">
            <v>Contratación directa</v>
          </cell>
          <cell r="R43" t="str">
            <v>Servicios profesionales y apoyo a la gestión</v>
          </cell>
          <cell r="S43" t="str">
            <v>01/14/2026</v>
          </cell>
          <cell r="T43" t="str">
            <v>01/16/2026</v>
          </cell>
          <cell r="U43" t="str">
            <v>12/31/2026</v>
          </cell>
          <cell r="V43" t="str">
            <v>No Definido</v>
          </cell>
          <cell r="W43" t="str">
            <v>Cédula de Ciudadanía</v>
          </cell>
          <cell r="X43" t="str">
            <v>1136883773</v>
          </cell>
          <cell r="Y43" t="str">
            <v>ERICK FRANCKS ESPEJO SILVA</v>
          </cell>
          <cell r="Z43" t="str">
            <v>No</v>
          </cell>
          <cell r="AA43" t="str">
            <v>No</v>
          </cell>
          <cell r="AB43" t="str">
            <v>No</v>
          </cell>
          <cell r="AC43" t="str">
            <v>No</v>
          </cell>
          <cell r="AD43" t="str">
            <v>No</v>
          </cell>
          <cell r="AE43" t="str">
            <v>No</v>
          </cell>
          <cell r="AF43" t="str">
            <v>No</v>
          </cell>
          <cell r="AG43" t="str">
            <v>Distribuido</v>
          </cell>
          <cell r="AH43" t="str">
            <v>Inversión</v>
          </cell>
          <cell r="AI43" t="str">
            <v>$112,823,292</v>
          </cell>
          <cell r="AJ43">
            <v>0</v>
          </cell>
          <cell r="AK43" t="str">
            <v>$83,391,128.5</v>
          </cell>
          <cell r="AL43" t="str">
            <v>$39,242,884.5</v>
          </cell>
          <cell r="AM43" t="str">
            <v>$73,580,407.5</v>
          </cell>
          <cell r="AN43">
            <v>0</v>
          </cell>
          <cell r="AO43">
            <v>0</v>
          </cell>
          <cell r="AP43" t="str">
            <v>$39,242,884.5</v>
          </cell>
          <cell r="AQ43" t="str">
            <v>$112,823,292</v>
          </cell>
          <cell r="AR43">
            <v>0</v>
          </cell>
          <cell r="AS43" t="str">
            <v>No</v>
          </cell>
          <cell r="AT43">
            <v>0</v>
          </cell>
          <cell r="AU43" t="str">
            <v>No aplica</v>
          </cell>
          <cell r="AV43" t="str">
            <v>No aplica</v>
          </cell>
          <cell r="AW43" t="str">
            <v>https://community.secop.gov.co/Public/Tendering/OpportunityDetail/Index?noticeUID=CO1.NTC.9484942&amp;isFromPublicArea=True&amp;isModal=true&amp;asPopupView=true</v>
          </cell>
          <cell r="AX43" t="str">
            <v>Erick Francks Espejo Silva</v>
          </cell>
          <cell r="AY43" t="str">
            <v>CO</v>
          </cell>
          <cell r="AZ43" t="str">
            <v>Cll138 #58d 01</v>
          </cell>
          <cell r="BA43" t="str">
            <v>Cédula de Ciudadanía</v>
          </cell>
          <cell r="BB43" t="str">
            <v>1136883773</v>
          </cell>
          <cell r="BC43" t="str">
            <v>No Definido</v>
          </cell>
          <cell r="BD43" t="str">
            <v>$112,823,292</v>
          </cell>
          <cell r="BE43">
            <v>0</v>
          </cell>
          <cell r="BF43">
            <v>0</v>
          </cell>
          <cell r="BG43">
            <v>0</v>
          </cell>
          <cell r="BH43">
            <v>0</v>
          </cell>
          <cell r="BI43">
            <v>0</v>
          </cell>
          <cell r="BK43" t="str">
            <v>700,149,040</v>
          </cell>
          <cell r="BL43">
            <v>709122055</v>
          </cell>
          <cell r="BM43" t="str">
            <v/>
          </cell>
          <cell r="BO43" t="str">
            <v>Prestar servicios profesionales en realización y producción audiovisual; para apoyar la Estrategia de Comunicaciones 2026 de la CRC mediante la planeación; grabación; edición y entrega de contenidos institucionales y la cobertura de eventos; garantizando calidad técnica; coherencia con la identidad visual; accesibilidad y comunicación inclusiva; utilizando sus propios equipos y actuando con autonomía profesional.</v>
          </cell>
          <cell r="BP43" t="str">
            <v>345 Dia(s)</v>
          </cell>
          <cell r="BQ43" t="str">
            <v>No definido</v>
          </cell>
          <cell r="BR43" t="str">
            <v>No Definido</v>
          </cell>
          <cell r="BS43" t="str">
            <v>No definido</v>
          </cell>
          <cell r="BT43" t="str">
            <v>No</v>
          </cell>
          <cell r="BU43" t="str">
            <v/>
          </cell>
          <cell r="BV43" t="str">
            <v>Zoila Consuelo Vargas Mesa</v>
          </cell>
          <cell r="BW43" t="str">
            <v>Cédula de Ciudadanía</v>
          </cell>
          <cell r="BX43" t="str">
            <v>46360403</v>
          </cell>
          <cell r="BY43" t="str">
            <v>Mariana Sarmiento Arguello</v>
          </cell>
          <cell r="BZ43" t="str">
            <v>Cédula de Ciudadanía</v>
          </cell>
          <cell r="CA43" t="str">
            <v>52862292</v>
          </cell>
          <cell r="CB43" t="str">
            <v>Zoila Consuelo Vargas Mesa</v>
          </cell>
          <cell r="CC43" t="str">
            <v>Cédula de Ciudadanía</v>
          </cell>
          <cell r="CD43" t="str">
            <v>46360403</v>
          </cell>
          <cell r="CE43" t="str">
            <v>No</v>
          </cell>
          <cell r="CF43" t="str">
            <v>No definido</v>
          </cell>
          <cell r="CG43" t="str">
            <v>Calle 59 a Bis # 5 - 53 Piso 9 EDIFICIO LINK SIETE SESENTA
Bogotá
Distrito Capital de Bogotá
COLOMBIA</v>
          </cell>
          <cell r="CH43" t="str">
            <v>No definido</v>
          </cell>
          <cell r="CI43" t="str">
            <v>No definido</v>
          </cell>
          <cell r="CJ43" t="str">
            <v>No definido</v>
          </cell>
          <cell r="CK43" t="str">
            <v>No definido</v>
          </cell>
          <cell r="CL43" t="str">
            <v>No definido</v>
          </cell>
          <cell r="CM43" t="str">
            <v>No</v>
          </cell>
          <cell r="CN43" t="str">
            <v/>
          </cell>
          <cell r="CO43" t="str">
            <v/>
          </cell>
          <cell r="CP43" t="str">
            <v/>
          </cell>
          <cell r="CQ43" t="str">
            <v/>
          </cell>
        </row>
        <row r="44">
          <cell r="A44" t="str">
            <v>COMISIÓN DE REGULACIÓN DE COMUNICACIONES</v>
          </cell>
          <cell r="B44" t="str">
            <v>830,002,593</v>
          </cell>
          <cell r="C44" t="str">
            <v>Distrito Capital de Bogotá</v>
          </cell>
          <cell r="D44" t="str">
            <v>Bogotá</v>
          </cell>
          <cell r="E44" t="str">
            <v>Colombia, Bogotá,  Bogotá</v>
          </cell>
          <cell r="F44" t="str">
            <v>Nacional</v>
          </cell>
          <cell r="G44" t="str">
            <v>Tecnologías de la Información y las Comunicaciones</v>
          </cell>
          <cell r="H44" t="str">
            <v>Ejecutivo</v>
          </cell>
          <cell r="I44" t="str">
            <v>Centralizada</v>
          </cell>
          <cell r="J44" t="str">
            <v>CO1.BDOS.10411484</v>
          </cell>
          <cell r="K44" t="str">
            <v>CO1.PCCNTR.9616873</v>
          </cell>
          <cell r="L44" t="str">
            <v>CONTRATO 76 DE 2026</v>
          </cell>
          <cell r="M44" t="str">
            <v>En ejecución</v>
          </cell>
          <cell r="N44" t="str">
            <v>V1.81111504</v>
          </cell>
          <cell r="O44" t="str">
            <v>Prestar los servicios profesionales como Ingeniero Senior especializado para apoyar la CRC en la migración de contenidos y la actualización de versión de Drupal para la sede electrónica (página web) de la entidad; alineado con las políticas vigentes de gobierno digital</v>
          </cell>
          <cell r="P44" t="str">
            <v>Prestación de servicios</v>
          </cell>
          <cell r="Q44" t="str">
            <v>Contratación directa</v>
          </cell>
          <cell r="R44" t="str">
            <v>Servicios profesionales y apoyo a la gestión</v>
          </cell>
          <cell r="S44" t="str">
            <v>07/08/2026</v>
          </cell>
          <cell r="T44" t="str">
            <v>07/10/2026</v>
          </cell>
          <cell r="U44" t="str">
            <v>12/31/2026</v>
          </cell>
          <cell r="V44" t="str">
            <v>NXTWY.DLVY.6</v>
          </cell>
          <cell r="W44" t="str">
            <v>Cédula de Ciudadanía</v>
          </cell>
          <cell r="X44" t="str">
            <v>80756133</v>
          </cell>
          <cell r="Y44" t="str">
            <v>FREDDY RODRIGUEZ ORTIZ</v>
          </cell>
          <cell r="Z44" t="str">
            <v>No</v>
          </cell>
          <cell r="AA44" t="str">
            <v>No</v>
          </cell>
          <cell r="AB44" t="str">
            <v>No</v>
          </cell>
          <cell r="AC44" t="str">
            <v>No</v>
          </cell>
          <cell r="AD44" t="str">
            <v>No</v>
          </cell>
          <cell r="AE44" t="str">
            <v>No</v>
          </cell>
          <cell r="AF44" t="str">
            <v>No</v>
          </cell>
          <cell r="AG44" t="str">
            <v>Distribuido</v>
          </cell>
          <cell r="AH44" t="str">
            <v>Inversión</v>
          </cell>
          <cell r="AI44" t="str">
            <v>$87,518,688</v>
          </cell>
          <cell r="AJ44">
            <v>0</v>
          </cell>
          <cell r="AK44" t="str">
            <v>$39,383,409</v>
          </cell>
          <cell r="AL44" t="str">
            <v>$62,721,727</v>
          </cell>
          <cell r="AM44" t="str">
            <v>$24,796,961</v>
          </cell>
          <cell r="AN44">
            <v>0</v>
          </cell>
          <cell r="AO44">
            <v>0</v>
          </cell>
          <cell r="AP44" t="str">
            <v>$62,721,727</v>
          </cell>
          <cell r="AQ44" t="str">
            <v>$87,518,688</v>
          </cell>
          <cell r="AR44">
            <v>0</v>
          </cell>
          <cell r="AS44" t="str">
            <v>No</v>
          </cell>
          <cell r="AT44">
            <v>0</v>
          </cell>
          <cell r="AU44" t="str">
            <v>No aplica</v>
          </cell>
          <cell r="AV44" t="str">
            <v>No aplica</v>
          </cell>
          <cell r="AW44" t="str">
            <v>https://community.secop.gov.co/Public/Tendering/OpportunityDetail/Index?noticeUID=CO1.NTC.10449514&amp;isFromPublicArea=True&amp;isModal=true&amp;asPopupView=true</v>
          </cell>
          <cell r="AX44" t="str">
            <v>Freddy Rodríguez Ortiz</v>
          </cell>
          <cell r="AY44" t="str">
            <v>CO</v>
          </cell>
          <cell r="AZ44" t="str">
            <v>No Definido</v>
          </cell>
          <cell r="BA44" t="str">
            <v>Sin Descripcion</v>
          </cell>
          <cell r="BB44" t="str">
            <v>Sin Descripcion</v>
          </cell>
          <cell r="BC44" t="str">
            <v>No Definido</v>
          </cell>
          <cell r="BD44" t="str">
            <v>$87,518,688</v>
          </cell>
          <cell r="BE44">
            <v>0</v>
          </cell>
          <cell r="BF44">
            <v>0</v>
          </cell>
          <cell r="BG44">
            <v>0</v>
          </cell>
          <cell r="BH44">
            <v>0</v>
          </cell>
          <cell r="BI44">
            <v>0</v>
          </cell>
          <cell r="BK44" t="str">
            <v>700,149,040</v>
          </cell>
          <cell r="BL44">
            <v>703886879</v>
          </cell>
          <cell r="BM44" t="str">
            <v/>
          </cell>
          <cell r="BO44" t="str">
            <v>Prestar los servicios profesionales como Ingeniero Senior especializado para apoyar la CRC en la migración de contenidos y la actualización de versión de Drupal para la sede electrónica (página web) de la entidad; alineado con las políticas vigentes de gobierno digital</v>
          </cell>
          <cell r="BP44" t="str">
            <v>178 Dia(s)</v>
          </cell>
          <cell r="BQ44" t="str">
            <v>No definido</v>
          </cell>
          <cell r="BR44" t="str">
            <v>No Definido</v>
          </cell>
          <cell r="BS44" t="str">
            <v>No definido</v>
          </cell>
          <cell r="BT44" t="str">
            <v>No</v>
          </cell>
          <cell r="BU44" t="str">
            <v/>
          </cell>
          <cell r="BV44" t="str">
            <v>No definido</v>
          </cell>
          <cell r="BW44" t="str">
            <v>No definido</v>
          </cell>
          <cell r="BX44" t="str">
            <v>No definido</v>
          </cell>
          <cell r="BY44" t="str">
            <v>No definido</v>
          </cell>
          <cell r="BZ44" t="str">
            <v>No definido</v>
          </cell>
          <cell r="CA44" t="str">
            <v>No definido</v>
          </cell>
          <cell r="CB44" t="str">
            <v>No definido</v>
          </cell>
          <cell r="CC44" t="str">
            <v>No definido</v>
          </cell>
          <cell r="CD44" t="str">
            <v>No definido</v>
          </cell>
          <cell r="CE44" t="str">
            <v>No</v>
          </cell>
          <cell r="CF44" t="str">
            <v>No definido</v>
          </cell>
          <cell r="CG44" t="str">
            <v>Calle 59 a Bis # 5 - 53 Piso 9 EDIFICIO LINK SIETE SESENTA
Bogotá
Distrito Capital de Bogotá
COLOMBIA</v>
          </cell>
          <cell r="CH44" t="str">
            <v>No definido</v>
          </cell>
          <cell r="CI44" t="str">
            <v>No definido</v>
          </cell>
          <cell r="CJ44" t="str">
            <v>No definido</v>
          </cell>
          <cell r="CK44" t="str">
            <v>No definido</v>
          </cell>
          <cell r="CL44" t="str">
            <v>No definido</v>
          </cell>
          <cell r="CM44" t="str">
            <v>No</v>
          </cell>
          <cell r="CN44" t="str">
            <v/>
          </cell>
          <cell r="CO44" t="str">
            <v/>
          </cell>
          <cell r="CP44" t="str">
            <v/>
          </cell>
          <cell r="CQ44" t="str">
            <v/>
          </cell>
        </row>
        <row r="45">
          <cell r="A45" t="str">
            <v>COMISIÓN DE REGULACIÓN DE COMUNICACIONES</v>
          </cell>
          <cell r="B45" t="str">
            <v>830,002,593</v>
          </cell>
          <cell r="C45" t="str">
            <v>Distrito Capital de Bogotá</v>
          </cell>
          <cell r="D45" t="str">
            <v>Bogotá</v>
          </cell>
          <cell r="E45" t="str">
            <v>Colombia, Bogotá,  Bogotá</v>
          </cell>
          <cell r="F45" t="str">
            <v>Nacional</v>
          </cell>
          <cell r="G45" t="str">
            <v>Tecnologías de la Información y las Comunicaciones</v>
          </cell>
          <cell r="H45" t="str">
            <v>Ejecutivo</v>
          </cell>
          <cell r="I45" t="str">
            <v>Centralizada</v>
          </cell>
          <cell r="J45" t="str">
            <v>CO1.BDOS.9767062</v>
          </cell>
          <cell r="K45" t="str">
            <v>CO1.PCCNTR.9183784</v>
          </cell>
          <cell r="L45" t="str">
            <v>CONTRATO 55 DE 2026</v>
          </cell>
          <cell r="M45" t="str">
            <v>En ejecución</v>
          </cell>
          <cell r="N45" t="str">
            <v>V1.81131500</v>
          </cell>
          <cell r="O45" t="str">
            <v>Prestación de servicios profesionales en materia de análisis de datos; para apoyar en el desarrollo de las actividades de las Coordinaciones de Analítica de Datos y Prospectiva Estratégica e Innovación; relacionadas con la extracción; transformación; procesamiento y visualización de datos; así como</v>
          </cell>
          <cell r="P45" t="str">
            <v>Prestación de servicios</v>
          </cell>
          <cell r="Q45" t="str">
            <v>Contratación directa</v>
          </cell>
          <cell r="R45" t="str">
            <v>Servicios profesionales y apoyo a la gestión</v>
          </cell>
          <cell r="S45" t="str">
            <v>01/27/2026</v>
          </cell>
          <cell r="T45" t="str">
            <v>02/02/2026</v>
          </cell>
          <cell r="U45" t="str">
            <v>12/31/2026</v>
          </cell>
          <cell r="V45" t="str">
            <v>NXTWY.DLVY.2</v>
          </cell>
          <cell r="W45" t="str">
            <v>Cédula de Ciudadanía</v>
          </cell>
          <cell r="X45" t="str">
            <v>1010234849</v>
          </cell>
          <cell r="Y45" t="str">
            <v>Juan José Galeano Hermosa</v>
          </cell>
          <cell r="Z45" t="str">
            <v>No</v>
          </cell>
          <cell r="AA45" t="str">
            <v>No</v>
          </cell>
          <cell r="AB45" t="str">
            <v>No</v>
          </cell>
          <cell r="AC45" t="str">
            <v>No</v>
          </cell>
          <cell r="AD45" t="str">
            <v>No</v>
          </cell>
          <cell r="AE45" t="str">
            <v>No</v>
          </cell>
          <cell r="AF45" t="str">
            <v>No</v>
          </cell>
          <cell r="AG45" t="str">
            <v>Distribuido</v>
          </cell>
          <cell r="AH45" t="str">
            <v>Inversión</v>
          </cell>
          <cell r="AI45" t="str">
            <v>$137,500,000</v>
          </cell>
          <cell r="AJ45">
            <v>0</v>
          </cell>
          <cell r="AK45" t="str">
            <v>$87,083,333</v>
          </cell>
          <cell r="AL45" t="str">
            <v>$50,416,667</v>
          </cell>
          <cell r="AM45" t="str">
            <v>$87,083,333</v>
          </cell>
          <cell r="AN45">
            <v>0</v>
          </cell>
          <cell r="AO45">
            <v>0</v>
          </cell>
          <cell r="AP45" t="str">
            <v>$50,416,667</v>
          </cell>
          <cell r="AQ45" t="str">
            <v>$137,500,000</v>
          </cell>
          <cell r="AR45">
            <v>0</v>
          </cell>
          <cell r="AS45" t="str">
            <v>No</v>
          </cell>
          <cell r="AT45">
            <v>0</v>
          </cell>
          <cell r="AU45" t="str">
            <v>No aplica</v>
          </cell>
          <cell r="AV45" t="str">
            <v>No aplica</v>
          </cell>
          <cell r="AW45" t="str">
            <v>https://community.secop.gov.co/Public/Tendering/OpportunityDetail/Index?noticeUID=CO1.NTC.9816128&amp;isFromPublicArea=True&amp;isModal=true&amp;asPopupView=true</v>
          </cell>
          <cell r="AX45" t="str">
            <v>Juan José Galeano Hermosa</v>
          </cell>
          <cell r="AY45" t="str">
            <v>CO</v>
          </cell>
          <cell r="AZ45" t="str">
            <v>No Definido</v>
          </cell>
          <cell r="BA45" t="str">
            <v>Sin Descripcion</v>
          </cell>
          <cell r="BB45" t="str">
            <v>Sin Descripcion</v>
          </cell>
          <cell r="BC45" t="str">
            <v>Hombre</v>
          </cell>
          <cell r="BD45" t="str">
            <v>$137,500,000</v>
          </cell>
          <cell r="BE45">
            <v>0</v>
          </cell>
          <cell r="BF45">
            <v>0</v>
          </cell>
          <cell r="BG45">
            <v>0</v>
          </cell>
          <cell r="BH45">
            <v>0</v>
          </cell>
          <cell r="BI45">
            <v>0</v>
          </cell>
          <cell r="BK45" t="str">
            <v>700,149,040</v>
          </cell>
          <cell r="BL45">
            <v>713902716</v>
          </cell>
          <cell r="BM45" t="str">
            <v/>
          </cell>
          <cell r="BO45" t="str">
            <v>Prestación de servicios profesionales en materia de análisis de datos; para apoyar en el desarrollo de las actividades de las Coordinaciones de Analítica de Datos y Prospectiva Estratégica e Innovación; relacionadas con la extracción; transformación; procesamiento y visualización de datos; así como la elaboración de estudios sectoriales para fortalecer el conocimiento del ecosistema digital; de acuerdo con lo previsto en la Agenda Regulatoria 2026-2027 y Plan de Acción de la CRC para el año 2026</v>
          </cell>
          <cell r="BP45" t="str">
            <v>330 Dia(s)</v>
          </cell>
          <cell r="BQ45" t="str">
            <v>No definido</v>
          </cell>
          <cell r="BR45" t="str">
            <v>No Definido</v>
          </cell>
          <cell r="BS45" t="str">
            <v>No definido</v>
          </cell>
          <cell r="BT45" t="str">
            <v>No</v>
          </cell>
          <cell r="BU45" t="str">
            <v/>
          </cell>
          <cell r="BV45" t="str">
            <v>No definido</v>
          </cell>
          <cell r="BW45" t="str">
            <v>No definido</v>
          </cell>
          <cell r="BX45" t="str">
            <v>No definido</v>
          </cell>
          <cell r="BY45" t="str">
            <v>Miguel Andrés Durán Dajud</v>
          </cell>
          <cell r="BZ45" t="str">
            <v>Cédula de Ciudadanía</v>
          </cell>
          <cell r="CA45" t="str">
            <v>92541020</v>
          </cell>
          <cell r="CB45" t="str">
            <v>No definido</v>
          </cell>
          <cell r="CC45" t="str">
            <v>No definido</v>
          </cell>
          <cell r="CD45" t="str">
            <v>No definido</v>
          </cell>
          <cell r="CE45" t="str">
            <v>No</v>
          </cell>
          <cell r="CF45" t="str">
            <v>No definido</v>
          </cell>
          <cell r="CG45" t="str">
            <v>Calle 59 a Bis # 5 - 53 Piso 9 EDIFICIO LINK SIETE SESENTA
Bogotá
Distrito Capital de Bogotá
COLOMBIA</v>
          </cell>
          <cell r="CH45" t="str">
            <v>No definido</v>
          </cell>
          <cell r="CI45" t="str">
            <v>No definido</v>
          </cell>
          <cell r="CJ45" t="str">
            <v>No definido</v>
          </cell>
          <cell r="CK45" t="str">
            <v>No definido</v>
          </cell>
          <cell r="CL45" t="str">
            <v>No definido</v>
          </cell>
          <cell r="CM45" t="str">
            <v>No</v>
          </cell>
          <cell r="CN45" t="str">
            <v/>
          </cell>
          <cell r="CO45" t="str">
            <v/>
          </cell>
          <cell r="CP45" t="str">
            <v/>
          </cell>
          <cell r="CQ45" t="str">
            <v/>
          </cell>
        </row>
        <row r="46">
          <cell r="A46" t="str">
            <v>COMISIÓN DE REGULACIÓN DE COMUNICACIONES</v>
          </cell>
          <cell r="B46" t="str">
            <v>830,002,593</v>
          </cell>
          <cell r="C46" t="str">
            <v>Distrito Capital de Bogotá</v>
          </cell>
          <cell r="D46" t="str">
            <v>Bogotá</v>
          </cell>
          <cell r="E46" t="str">
            <v>Colombia, Bogotá,  Bogotá</v>
          </cell>
          <cell r="F46" t="str">
            <v>Nacional</v>
          </cell>
          <cell r="G46" t="str">
            <v>Tecnologías de la Información y las Comunicaciones</v>
          </cell>
          <cell r="H46" t="str">
            <v>Ejecutivo</v>
          </cell>
          <cell r="I46" t="str">
            <v>Centralizada</v>
          </cell>
          <cell r="J46" t="str">
            <v>CO1.BDOS.10918379</v>
          </cell>
          <cell r="K46" t="str">
            <v>CO1.PCCNTR.9992926</v>
          </cell>
          <cell r="L46" t="str">
            <v>CONTRATO 95 DE 2026</v>
          </cell>
          <cell r="M46" t="str">
            <v>Aprobado</v>
          </cell>
          <cell r="N46" t="str">
            <v>UNSPECIFIED</v>
          </cell>
          <cell r="O46" t="str">
            <v>EL CONTRATISTA se obliga con LA COMISIÓN a implementar
los componentes técnicos y operativos del modelo de Gobierno de Datos de la Comisión de Regulación
de Comunicaciones - CRC; desarrollando la fase preparatoria; la implementación del Modelo de Gobierno
de Datos y la preparación de la sub-fase Fun</v>
          </cell>
          <cell r="P46" t="str">
            <v>Prestación de servicios</v>
          </cell>
          <cell r="Q46" t="str">
            <v>Contratación directa</v>
          </cell>
          <cell r="R46" t="str">
            <v>Servicios profesionales y apoyo a la gestión</v>
          </cell>
          <cell r="S46" t="str">
            <v>09/29/2026</v>
          </cell>
          <cell r="T46" t="str">
            <v/>
          </cell>
          <cell r="U46" t="str">
            <v>12/14/2026</v>
          </cell>
          <cell r="V46" t="str">
            <v>No Definido</v>
          </cell>
          <cell r="W46" t="str">
            <v>NIT</v>
          </cell>
          <cell r="X46" t="str">
            <v>830101214</v>
          </cell>
          <cell r="Y46" t="str">
            <v>Corporación Colombia Digital</v>
          </cell>
          <cell r="Z46" t="str">
            <v>No</v>
          </cell>
          <cell r="AA46" t="str">
            <v>No</v>
          </cell>
          <cell r="AB46" t="str">
            <v>No</v>
          </cell>
          <cell r="AC46" t="str">
            <v>Si</v>
          </cell>
          <cell r="AD46" t="str">
            <v>No</v>
          </cell>
          <cell r="AE46" t="str">
            <v>No</v>
          </cell>
          <cell r="AF46" t="str">
            <v>No</v>
          </cell>
          <cell r="AG46" t="str">
            <v>Distribuido</v>
          </cell>
          <cell r="AH46" t="str">
            <v>Inversión</v>
          </cell>
          <cell r="AI46" t="str">
            <v>$297,348,156</v>
          </cell>
          <cell r="AJ46">
            <v>0</v>
          </cell>
          <cell r="AK46" t="str">
            <v>$0</v>
          </cell>
          <cell r="AL46" t="str">
            <v>$297,348,156</v>
          </cell>
          <cell r="AM46" t="str">
            <v>$0</v>
          </cell>
          <cell r="AN46">
            <v>0</v>
          </cell>
          <cell r="AO46">
            <v>0</v>
          </cell>
          <cell r="AP46" t="str">
            <v>$297,348,156</v>
          </cell>
          <cell r="AQ46" t="str">
            <v>$297,348,156</v>
          </cell>
          <cell r="AR46">
            <v>0</v>
          </cell>
          <cell r="AS46" t="str">
            <v>No</v>
          </cell>
          <cell r="AT46">
            <v>0</v>
          </cell>
          <cell r="AU46" t="str">
            <v>No aplica</v>
          </cell>
          <cell r="AV46" t="str">
            <v>No aplica</v>
          </cell>
          <cell r="AW46" t="str">
            <v>https://community.secop.gov.co/Public/Tendering/OpportunityDetail/Index?noticeUID=CO1.NTC.10960550&amp;isFromPublicArea=True&amp;isModal=true&amp;asPopupView=true</v>
          </cell>
          <cell r="AX46" t="str">
            <v>JORGE ANDRES CAPURRO SANCHEZ</v>
          </cell>
          <cell r="AY46" t="str">
            <v>CO</v>
          </cell>
          <cell r="AZ46" t="str">
            <v>No Definido</v>
          </cell>
          <cell r="BA46" t="str">
            <v>Cédula de Ciudadanía</v>
          </cell>
          <cell r="BB46" t="str">
            <v>80076591</v>
          </cell>
          <cell r="BC46" t="str">
            <v>Hombre</v>
          </cell>
          <cell r="BD46" t="str">
            <v>$297,348,156</v>
          </cell>
          <cell r="BE46">
            <v>0</v>
          </cell>
          <cell r="BF46">
            <v>0</v>
          </cell>
          <cell r="BG46">
            <v>0</v>
          </cell>
          <cell r="BH46">
            <v>0</v>
          </cell>
          <cell r="BI46">
            <v>0</v>
          </cell>
          <cell r="BK46" t="str">
            <v>700,149,040</v>
          </cell>
          <cell r="BL46">
            <v>701379067</v>
          </cell>
          <cell r="BM46" t="str">
            <v>2026 Dec 15 12:00:00 AM</v>
          </cell>
          <cell r="BN46">
            <v>47587</v>
          </cell>
          <cell r="BO46" t="str">
            <v>EL CONTRATISTA se obliga con LA COMISIÓN a implementar
los componentes técnicos y operativos del modelo de Gobierno de Datos de la Comisión de Regulación
de Comunicaciones - CRC; desarrollando la fase preparatoria; la implementación del Modelo de Gobierno
de Datos y la preparación de la sub-fase Fundamentos Técnicos; con el propósito de consolidar las
capacidades organizacionales; normativas y metodológicas necesarias para la operación sostenible del
Gobierno de Datos institucional (...)</v>
          </cell>
          <cell r="BP46" t="str">
            <v>11 Semana(s)</v>
          </cell>
          <cell r="BQ46" t="str">
            <v>No definido</v>
          </cell>
          <cell r="BR46" t="str">
            <v>No Definido</v>
          </cell>
          <cell r="BS46" t="str">
            <v>No definido</v>
          </cell>
          <cell r="BT46" t="str">
            <v>No</v>
          </cell>
          <cell r="BU46" t="str">
            <v/>
          </cell>
          <cell r="BV46" t="str">
            <v>No definido</v>
          </cell>
          <cell r="BW46" t="str">
            <v>No definido</v>
          </cell>
          <cell r="BX46" t="str">
            <v>No definido</v>
          </cell>
          <cell r="BY46" t="str">
            <v>No definido</v>
          </cell>
          <cell r="BZ46" t="str">
            <v>No definido</v>
          </cell>
          <cell r="CA46" t="str">
            <v>No definido</v>
          </cell>
          <cell r="CB46" t="str">
            <v>No definido</v>
          </cell>
          <cell r="CC46" t="str">
            <v>No definido</v>
          </cell>
          <cell r="CD46" t="str">
            <v>No definido</v>
          </cell>
          <cell r="CE46" t="str">
            <v>No</v>
          </cell>
          <cell r="CF46" t="str">
            <v>No definido</v>
          </cell>
          <cell r="CG46" t="str">
            <v>Calle 59 a Bis # 5 - 53 Piso 9 EDIFICIO LINK SIETE SESENTA
Bogotá
Distrito Capital de Bogotá
COLOMBIA</v>
          </cell>
          <cell r="CH46" t="str">
            <v>No definido</v>
          </cell>
          <cell r="CI46" t="str">
            <v>No definido</v>
          </cell>
          <cell r="CJ46" t="str">
            <v>No definido</v>
          </cell>
          <cell r="CK46" t="str">
            <v>No definido</v>
          </cell>
          <cell r="CL46" t="str">
            <v>No definido</v>
          </cell>
          <cell r="CM46" t="str">
            <v>No</v>
          </cell>
          <cell r="CN46" t="str">
            <v/>
          </cell>
          <cell r="CO46" t="str">
            <v/>
          </cell>
          <cell r="CP46" t="str">
            <v/>
          </cell>
          <cell r="CQ46" t="str">
            <v/>
          </cell>
        </row>
        <row r="47">
          <cell r="A47" t="str">
            <v>COMISIÓN DE REGULACIÓN DE COMUNICACIONES</v>
          </cell>
          <cell r="B47" t="str">
            <v>830,002,593</v>
          </cell>
          <cell r="C47" t="str">
            <v>Distrito Capital de Bogotá</v>
          </cell>
          <cell r="D47" t="str">
            <v>Bogotá</v>
          </cell>
          <cell r="E47" t="str">
            <v>Colombia, Bogotá,  Bogotá</v>
          </cell>
          <cell r="F47" t="str">
            <v>Nacional</v>
          </cell>
          <cell r="G47" t="str">
            <v>Tecnologías de la Información y las Comunicaciones</v>
          </cell>
          <cell r="H47" t="str">
            <v>Ejecutivo</v>
          </cell>
          <cell r="I47" t="str">
            <v>Centralizada</v>
          </cell>
          <cell r="J47" t="str">
            <v>CO1.BDOS.9312828</v>
          </cell>
          <cell r="K47" t="str">
            <v>CO1.PCCNTR.8976684</v>
          </cell>
          <cell r="L47" t="str">
            <v>CONTRATO 40 DE 2026</v>
          </cell>
          <cell r="M47" t="str">
            <v>En ejecución</v>
          </cell>
          <cell r="N47" t="str">
            <v>V1.81131504</v>
          </cell>
          <cell r="O47" t="str">
            <v>Adquirir la información 
exclusiva de Kantar Ibope Media Colombia S.A.S. de medición de audiencias con la tecnología People 
Meters para los servicios de televisión abierta; que posibilite realizar una medición de audiencias 
respecto del consumo de televisión y de información de pauta publicitaria</v>
          </cell>
          <cell r="P47" t="str">
            <v>Prestación de servicios</v>
          </cell>
          <cell r="Q47" t="str">
            <v>Contratación directa</v>
          </cell>
          <cell r="R47" t="str">
            <v>No existe pluralidad de oferentes en el mercado</v>
          </cell>
          <cell r="S47" t="str">
            <v>01/21/2026</v>
          </cell>
          <cell r="T47" t="str">
            <v>01/27/2026</v>
          </cell>
          <cell r="U47" t="str">
            <v>12/31/2026</v>
          </cell>
          <cell r="V47" t="str">
            <v>No Definido</v>
          </cell>
          <cell r="W47" t="str">
            <v>NIT</v>
          </cell>
          <cell r="X47" t="str">
            <v>800174162</v>
          </cell>
          <cell r="Y47" t="str">
            <v>KANTAR IBOPE MEDIA COLOMBIA SAS</v>
          </cell>
          <cell r="Z47" t="str">
            <v>No</v>
          </cell>
          <cell r="AA47" t="str">
            <v>No</v>
          </cell>
          <cell r="AB47" t="str">
            <v>No</v>
          </cell>
          <cell r="AC47" t="str">
            <v>Si</v>
          </cell>
          <cell r="AD47" t="str">
            <v>No</v>
          </cell>
          <cell r="AE47" t="str">
            <v>No</v>
          </cell>
          <cell r="AF47" t="str">
            <v>No</v>
          </cell>
          <cell r="AG47" t="str">
            <v>Distribuido</v>
          </cell>
          <cell r="AH47" t="str">
            <v>Inversión</v>
          </cell>
          <cell r="AI47" t="str">
            <v>$157,080,000</v>
          </cell>
          <cell r="AJ47">
            <v>0</v>
          </cell>
          <cell r="AK47" t="str">
            <v>$85,680,000</v>
          </cell>
          <cell r="AL47" t="str">
            <v>$71,400,000</v>
          </cell>
          <cell r="AM47" t="str">
            <v>$85,680,000</v>
          </cell>
          <cell r="AN47">
            <v>0</v>
          </cell>
          <cell r="AO47">
            <v>0</v>
          </cell>
          <cell r="AP47" t="str">
            <v>$71,400,000</v>
          </cell>
          <cell r="AQ47" t="str">
            <v>$157,080,000</v>
          </cell>
          <cell r="AR47">
            <v>0</v>
          </cell>
          <cell r="AS47" t="str">
            <v>No</v>
          </cell>
          <cell r="AT47">
            <v>0</v>
          </cell>
          <cell r="AU47" t="str">
            <v>No aplica</v>
          </cell>
          <cell r="AV47" t="str">
            <v>No aplica</v>
          </cell>
          <cell r="AW47" t="str">
            <v>https://community.secop.gov.co/Public/Tendering/OpportunityDetail/Index?noticeUID=CO1.NTC.9607474&amp;isFromPublicArea=True&amp;isModal=true&amp;asPopupView=true</v>
          </cell>
          <cell r="AX47" t="str">
            <v>Julian Felipe Gomez Lopez</v>
          </cell>
          <cell r="AY47" t="str">
            <v>CO</v>
          </cell>
          <cell r="AZ47" t="str">
            <v>No Definido</v>
          </cell>
          <cell r="BA47" t="str">
            <v>Sin Descripcion</v>
          </cell>
          <cell r="BB47" t="str">
            <v>Sin Descripcion</v>
          </cell>
          <cell r="BC47" t="str">
            <v>No Definido</v>
          </cell>
          <cell r="BD47" t="str">
            <v>$157,080,000</v>
          </cell>
          <cell r="BE47">
            <v>0</v>
          </cell>
          <cell r="BF47">
            <v>0</v>
          </cell>
          <cell r="BG47">
            <v>0</v>
          </cell>
          <cell r="BH47">
            <v>0</v>
          </cell>
          <cell r="BI47">
            <v>0</v>
          </cell>
          <cell r="BK47" t="str">
            <v>700,149,040</v>
          </cell>
          <cell r="BL47">
            <v>701976086</v>
          </cell>
          <cell r="BM47" t="str">
            <v>2027 Jan 01 12:00:00 AM</v>
          </cell>
          <cell r="BN47">
            <v>47118</v>
          </cell>
          <cell r="BO47" t="str">
            <v>Adquirir la información 
exclusiva de Kantar Ibope Media Colombia S.A.S. de medición de audiencias con la tecnología People 
Meters para los servicios de televisión abierta; que posibilite realizar una medición de audiencias 
respecto del consumo de televisión y de información de pauta publicitaria de bebidas alcohólicas; para 
los meses de enero a noviembre de 2026.</v>
          </cell>
          <cell r="BP47" t="str">
            <v>11 Mes(es)</v>
          </cell>
          <cell r="BQ47" t="str">
            <v>No definido</v>
          </cell>
          <cell r="BR47" t="str">
            <v>No Definido</v>
          </cell>
          <cell r="BS47" t="str">
            <v>No definido</v>
          </cell>
          <cell r="BT47" t="str">
            <v>No</v>
          </cell>
          <cell r="BU47" t="str">
            <v/>
          </cell>
          <cell r="BV47" t="str">
            <v>No definido</v>
          </cell>
          <cell r="BW47" t="str">
            <v>No definido</v>
          </cell>
          <cell r="BX47" t="str">
            <v>No definido</v>
          </cell>
          <cell r="BY47" t="str">
            <v>Miguel Andrés Durán Dajud</v>
          </cell>
          <cell r="BZ47" t="str">
            <v>Cédula de Ciudadanía</v>
          </cell>
          <cell r="CA47" t="str">
            <v>92541020</v>
          </cell>
          <cell r="CB47" t="str">
            <v>No definido</v>
          </cell>
          <cell r="CC47" t="str">
            <v>No definido</v>
          </cell>
          <cell r="CD47" t="str">
            <v>No definido</v>
          </cell>
          <cell r="CE47" t="str">
            <v>No</v>
          </cell>
          <cell r="CF47" t="str">
            <v>No definido</v>
          </cell>
          <cell r="CG47" t="str">
            <v>Calle 59 a Bis # 5 - 53 Piso 9 EDIFICIO LINK SIETE SESENTA
Bogotá
Distrito Capital de Bogotá
COLOMBIA</v>
          </cell>
          <cell r="CH47" t="str">
            <v>No definido</v>
          </cell>
          <cell r="CI47" t="str">
            <v>No definido</v>
          </cell>
          <cell r="CJ47" t="str">
            <v>No definido</v>
          </cell>
          <cell r="CK47" t="str">
            <v>No definido</v>
          </cell>
          <cell r="CL47" t="str">
            <v>No definido</v>
          </cell>
          <cell r="CM47" t="str">
            <v>No</v>
          </cell>
          <cell r="CN47" t="str">
            <v/>
          </cell>
          <cell r="CO47" t="str">
            <v/>
          </cell>
          <cell r="CP47" t="str">
            <v/>
          </cell>
          <cell r="CQ47" t="str">
            <v/>
          </cell>
        </row>
        <row r="48">
          <cell r="A48" t="str">
            <v>COMISIÓN DE REGULACIÓN DE COMUNICACIONES</v>
          </cell>
          <cell r="B48" t="str">
            <v>830,002,593</v>
          </cell>
          <cell r="C48" t="str">
            <v>Distrito Capital de Bogotá</v>
          </cell>
          <cell r="D48" t="str">
            <v>Bogotá</v>
          </cell>
          <cell r="E48" t="str">
            <v>Colombia, Bogotá,  Bogotá</v>
          </cell>
          <cell r="F48" t="str">
            <v>Nacional</v>
          </cell>
          <cell r="G48" t="str">
            <v>Tecnologías de la Información y las Comunicaciones</v>
          </cell>
          <cell r="H48" t="str">
            <v>Ejecutivo</v>
          </cell>
          <cell r="I48" t="str">
            <v>Centralizada</v>
          </cell>
          <cell r="J48" t="str">
            <v>CO1.BDOS.9312761</v>
          </cell>
          <cell r="K48" t="str">
            <v>CO1.PCCNTR.8884085</v>
          </cell>
          <cell r="L48" t="str">
            <v>CONTRATO 29 DE 2026</v>
          </cell>
          <cell r="M48" t="str">
            <v>En ejecución</v>
          </cell>
          <cell r="N48" t="str">
            <v>V1.81111507</v>
          </cell>
          <cell r="O48"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v>
          </cell>
          <cell r="P48" t="str">
            <v>Prestación de servicios</v>
          </cell>
          <cell r="Q48" t="str">
            <v>Contratación directa</v>
          </cell>
          <cell r="R48" t="str">
            <v>Servicios profesionales y apoyo a la gestión</v>
          </cell>
          <cell r="S48" t="str">
            <v>01/15/2026</v>
          </cell>
          <cell r="T48" t="str">
            <v>01/16/2026</v>
          </cell>
          <cell r="U48" t="str">
            <v>12/31/2026</v>
          </cell>
          <cell r="V48" t="str">
            <v>NXTWY.DLVY.6</v>
          </cell>
          <cell r="W48" t="str">
            <v>Cédula de Ciudadanía</v>
          </cell>
          <cell r="X48" t="str">
            <v>6664398</v>
          </cell>
          <cell r="Y48" t="str">
            <v>Omar Argenis Duarte Maldonado</v>
          </cell>
          <cell r="Z48" t="str">
            <v>No</v>
          </cell>
          <cell r="AA48" t="str">
            <v>No</v>
          </cell>
          <cell r="AB48" t="str">
            <v>No</v>
          </cell>
          <cell r="AC48" t="str">
            <v>No</v>
          </cell>
          <cell r="AD48" t="str">
            <v>No</v>
          </cell>
          <cell r="AE48" t="str">
            <v>No</v>
          </cell>
          <cell r="AF48" t="str">
            <v>No</v>
          </cell>
          <cell r="AG48" t="str">
            <v>Distribuido</v>
          </cell>
          <cell r="AH48" t="str">
            <v>Inversión</v>
          </cell>
          <cell r="AI48" t="str">
            <v>$157,074,000</v>
          </cell>
          <cell r="AJ48">
            <v>0</v>
          </cell>
          <cell r="AK48" t="str">
            <v>$116,098,168</v>
          </cell>
          <cell r="AL48" t="str">
            <v>$40,975,832</v>
          </cell>
          <cell r="AM48" t="str">
            <v>$116,098,168</v>
          </cell>
          <cell r="AN48">
            <v>0</v>
          </cell>
          <cell r="AO48">
            <v>0</v>
          </cell>
          <cell r="AP48" t="str">
            <v>$40,975,832</v>
          </cell>
          <cell r="AQ48" t="str">
            <v>$157,074,000</v>
          </cell>
          <cell r="AR48">
            <v>0</v>
          </cell>
          <cell r="AS48" t="str">
            <v>No</v>
          </cell>
          <cell r="AT48">
            <v>0</v>
          </cell>
          <cell r="AU48" t="str">
            <v>No aplica</v>
          </cell>
          <cell r="AV48" t="str">
            <v>No aplica</v>
          </cell>
          <cell r="AW48" t="str">
            <v>https://community.secop.gov.co/Public/Tendering/OpportunityDetail/Index?noticeUID=CO1.NTC.9516912&amp;isFromPublicArea=True&amp;isModal=true&amp;asPopupView=true</v>
          </cell>
          <cell r="AX48" t="str">
            <v>Omar Argenis Duarte Maldonado</v>
          </cell>
          <cell r="AY48" t="str">
            <v>CO</v>
          </cell>
          <cell r="AZ48" t="str">
            <v>No Definido</v>
          </cell>
          <cell r="BA48" t="str">
            <v>Sin Descripcion</v>
          </cell>
          <cell r="BB48" t="str">
            <v>6664398</v>
          </cell>
          <cell r="BC48" t="str">
            <v>No Definido</v>
          </cell>
          <cell r="BD48" t="str">
            <v>$157,074,000</v>
          </cell>
          <cell r="BE48">
            <v>0</v>
          </cell>
          <cell r="BF48">
            <v>0</v>
          </cell>
          <cell r="BG48">
            <v>0</v>
          </cell>
          <cell r="BH48">
            <v>0</v>
          </cell>
          <cell r="BI48">
            <v>0</v>
          </cell>
          <cell r="BK48" t="str">
            <v>700,149,040</v>
          </cell>
          <cell r="BL48">
            <v>702944166</v>
          </cell>
          <cell r="BM48" t="str">
            <v/>
          </cell>
          <cell r="BO48"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y al Plan de Acción año 2026; en cumplimiento de la Política de Gobierno Digi</v>
          </cell>
          <cell r="BP48" t="str">
            <v>345 Dia(s)</v>
          </cell>
          <cell r="BQ48" t="str">
            <v>No definido</v>
          </cell>
          <cell r="BR48" t="str">
            <v>No Definido</v>
          </cell>
          <cell r="BS48" t="str">
            <v>No definido</v>
          </cell>
          <cell r="BT48" t="str">
            <v>No</v>
          </cell>
          <cell r="BU48" t="str">
            <v/>
          </cell>
          <cell r="BV48" t="str">
            <v>Zoila Consuelo Vargas Mesa</v>
          </cell>
          <cell r="BW48" t="str">
            <v>Cédula de Ciudadanía</v>
          </cell>
          <cell r="BX48" t="str">
            <v>46360403</v>
          </cell>
          <cell r="BY48" t="str">
            <v>INGRID PICON CARRASCAL</v>
          </cell>
          <cell r="BZ48" t="str">
            <v>Cédula de Ciudadanía</v>
          </cell>
          <cell r="CA48" t="str">
            <v>60372503</v>
          </cell>
          <cell r="CB48" t="str">
            <v>No definido</v>
          </cell>
          <cell r="CC48" t="str">
            <v>No definido</v>
          </cell>
          <cell r="CD48" t="str">
            <v>No definido</v>
          </cell>
          <cell r="CE48" t="str">
            <v>No</v>
          </cell>
          <cell r="CF48" t="str">
            <v>No definido</v>
          </cell>
          <cell r="CG48" t="str">
            <v>Calle 59 a Bis # 5 - 53 Piso 9 EDIFICIO LINK SIETE SESENTA
Bogotá
Distrito Capital de Bogotá
COLOMBIA</v>
          </cell>
          <cell r="CH48" t="str">
            <v>No definido</v>
          </cell>
          <cell r="CI48" t="str">
            <v>No definido</v>
          </cell>
          <cell r="CJ48" t="str">
            <v>No definido</v>
          </cell>
          <cell r="CK48" t="str">
            <v>No definido</v>
          </cell>
          <cell r="CL48" t="str">
            <v>No definido</v>
          </cell>
          <cell r="CM48" t="str">
            <v>No</v>
          </cell>
          <cell r="CN48" t="str">
            <v/>
          </cell>
          <cell r="CO48" t="str">
            <v/>
          </cell>
          <cell r="CP48" t="str">
            <v/>
          </cell>
          <cell r="CQ48" t="str">
            <v/>
          </cell>
        </row>
        <row r="49">
          <cell r="A49" t="str">
            <v>COMISIÓN DE REGULACIÓN DE COMUNICACIONES</v>
          </cell>
          <cell r="B49" t="str">
            <v>830,002,593</v>
          </cell>
          <cell r="C49" t="str">
            <v>Distrito Capital de Bogotá</v>
          </cell>
          <cell r="D49" t="str">
            <v>Bogotá</v>
          </cell>
          <cell r="E49" t="str">
            <v>Colombia, Bogotá,  Bogotá</v>
          </cell>
          <cell r="F49" t="str">
            <v>Nacional</v>
          </cell>
          <cell r="G49" t="str">
            <v>Tecnologías de la Información y las Comunicaciones</v>
          </cell>
          <cell r="H49" t="str">
            <v>Ejecutivo</v>
          </cell>
          <cell r="I49" t="str">
            <v>Centralizada</v>
          </cell>
          <cell r="J49" t="str">
            <v>CO1.BDOS.9602426</v>
          </cell>
          <cell r="K49" t="str">
            <v>CO1.PCCNTR.9001956</v>
          </cell>
          <cell r="L49" t="str">
            <v>CONTRATO 52 DE 2026</v>
          </cell>
          <cell r="M49" t="str">
            <v>En ejecución</v>
          </cell>
          <cell r="N49" t="str">
            <v>V1.80121601</v>
          </cell>
          <cell r="O49" t="str">
            <v>EL CONTRATISTA se obliga con LA COMISIÓN a prestar servicios profesionales altamente 
especializados en el ámbito del derecho constitucional; orientados a la prestación de apoyo jurídico 
estratégico a la Comisión de Regulación de Comunicaciones - CRC en la atención; análisis y gestión de 
asuntos j</v>
          </cell>
          <cell r="P49" t="str">
            <v>Prestación de servicios</v>
          </cell>
          <cell r="Q49" t="str">
            <v>Contratación directa</v>
          </cell>
          <cell r="R49" t="str">
            <v>Servicios profesionales y apoyo a la gestión</v>
          </cell>
          <cell r="S49" t="str">
            <v>01/21/2026</v>
          </cell>
          <cell r="T49" t="str">
            <v>01/26/2026</v>
          </cell>
          <cell r="U49" t="str">
            <v>12/31/2026</v>
          </cell>
          <cell r="V49" t="str">
            <v>NXTWY.DLVY.6</v>
          </cell>
          <cell r="W49" t="str">
            <v>Cédula de Ciudadanía</v>
          </cell>
          <cell r="X49" t="str">
            <v>39693109</v>
          </cell>
          <cell r="Y49" t="str">
            <v>Catalina Botero Marino</v>
          </cell>
          <cell r="Z49" t="str">
            <v>No</v>
          </cell>
          <cell r="AA49" t="str">
            <v>No</v>
          </cell>
          <cell r="AB49" t="str">
            <v>No</v>
          </cell>
          <cell r="AC49" t="str">
            <v>No</v>
          </cell>
          <cell r="AD49" t="str">
            <v>No</v>
          </cell>
          <cell r="AE49" t="str">
            <v>No</v>
          </cell>
          <cell r="AF49" t="str">
            <v>No</v>
          </cell>
          <cell r="AG49" t="str">
            <v>Distribuido</v>
          </cell>
          <cell r="AH49" t="str">
            <v>Inversión</v>
          </cell>
          <cell r="AI49" t="str">
            <v>$120,000,000</v>
          </cell>
          <cell r="AJ49">
            <v>0</v>
          </cell>
          <cell r="AK49" t="str">
            <v>$81,600,000</v>
          </cell>
          <cell r="AL49" t="str">
            <v>$38,400,000</v>
          </cell>
          <cell r="AM49" t="str">
            <v>$81,600,000</v>
          </cell>
          <cell r="AN49">
            <v>0</v>
          </cell>
          <cell r="AO49">
            <v>0</v>
          </cell>
          <cell r="AP49" t="str">
            <v>$38,400,000</v>
          </cell>
          <cell r="AQ49" t="str">
            <v>$120,000,000</v>
          </cell>
          <cell r="AR49">
            <v>0</v>
          </cell>
          <cell r="AS49" t="str">
            <v>No</v>
          </cell>
          <cell r="AT49">
            <v>0</v>
          </cell>
          <cell r="AU49" t="str">
            <v>No aplica</v>
          </cell>
          <cell r="AV49" t="str">
            <v>No aplica</v>
          </cell>
          <cell r="AW49" t="str">
            <v>https://community.secop.gov.co/Public/Tendering/OpportunityDetail/Index?noticeUID=CO1.NTC.9634882&amp;isFromPublicArea=True&amp;isModal=true&amp;asPopupView=true</v>
          </cell>
          <cell r="AX49" t="str">
            <v>Catalina Botero Marino</v>
          </cell>
          <cell r="AY49" t="str">
            <v>CO</v>
          </cell>
          <cell r="AZ49" t="str">
            <v>Carrera 1 Este #764</v>
          </cell>
          <cell r="BA49" t="str">
            <v>Sin Descripcion</v>
          </cell>
          <cell r="BB49" t="str">
            <v>Sin Descripcion</v>
          </cell>
          <cell r="BC49" t="str">
            <v>Mujer</v>
          </cell>
          <cell r="BD49" t="str">
            <v>$120,000,000</v>
          </cell>
          <cell r="BE49">
            <v>0</v>
          </cell>
          <cell r="BF49">
            <v>0</v>
          </cell>
          <cell r="BG49">
            <v>0</v>
          </cell>
          <cell r="BH49">
            <v>0</v>
          </cell>
          <cell r="BI49">
            <v>0</v>
          </cell>
          <cell r="BK49" t="str">
            <v>700,149,040</v>
          </cell>
          <cell r="BL49">
            <v>726996564</v>
          </cell>
          <cell r="BM49" t="str">
            <v/>
          </cell>
          <cell r="BO49" t="str">
            <v>EL CONTRATISTA se obliga con LA COMISIÓN a prestar servicios profesionales altamente 
especializados en el ámbito del derecho constitucional; orientados a la prestación de apoyo jurídico 
estratégico a la Comisión de Regulación de Comunicaciones - CRC en la atención; análisis y gestión de 
asuntos jurídicos de alta complejidad en materia de derecho constitucional; en particular los 
relacionados con las competencias de la CRC en materia de pluralismo e imparcialidad informativos y la 
protección</v>
          </cell>
          <cell r="BP49" t="str">
            <v>11 Mes(es)</v>
          </cell>
          <cell r="BQ49" t="str">
            <v>No definido</v>
          </cell>
          <cell r="BR49" t="str">
            <v>No Definido</v>
          </cell>
          <cell r="BS49" t="str">
            <v>No definido</v>
          </cell>
          <cell r="BT49" t="str">
            <v>No</v>
          </cell>
          <cell r="BU49" t="str">
            <v/>
          </cell>
          <cell r="BV49" t="str">
            <v>No definido</v>
          </cell>
          <cell r="BW49" t="str">
            <v>No definido</v>
          </cell>
          <cell r="BX49" t="str">
            <v>No definido</v>
          </cell>
          <cell r="BY49" t="str">
            <v>Ricardo Ramirez Hernandez</v>
          </cell>
          <cell r="BZ49" t="str">
            <v>Cédula de Ciudadanía</v>
          </cell>
          <cell r="CA49" t="str">
            <v>79444533</v>
          </cell>
          <cell r="CB49" t="str">
            <v>No definido</v>
          </cell>
          <cell r="CC49" t="str">
            <v>No definido</v>
          </cell>
          <cell r="CD49" t="str">
            <v>No definido</v>
          </cell>
          <cell r="CE49" t="str">
            <v>No</v>
          </cell>
          <cell r="CF49" t="str">
            <v>No definido</v>
          </cell>
          <cell r="CG49" t="str">
            <v>Calle 59 a Bis # 5 - 53 Piso 9 EDIFICIO LINK SIETE SESENTA
Bogotá
Distrito Capital de Bogotá
COLOMBIA</v>
          </cell>
          <cell r="CH49" t="str">
            <v>No definido</v>
          </cell>
          <cell r="CI49" t="str">
            <v>No definido</v>
          </cell>
          <cell r="CJ49" t="str">
            <v>No definido</v>
          </cell>
          <cell r="CK49" t="str">
            <v>No definido</v>
          </cell>
          <cell r="CL49" t="str">
            <v>No definido</v>
          </cell>
          <cell r="CM49" t="str">
            <v>No</v>
          </cell>
          <cell r="CN49" t="str">
            <v/>
          </cell>
          <cell r="CO49" t="str">
            <v/>
          </cell>
          <cell r="CP49" t="str">
            <v/>
          </cell>
          <cell r="CQ49" t="str">
            <v/>
          </cell>
        </row>
        <row r="50">
          <cell r="A50" t="str">
            <v>COMISIÓN DE REGULACIÓN DE COMUNICACIONES</v>
          </cell>
          <cell r="B50" t="str">
            <v>830,002,593</v>
          </cell>
          <cell r="C50" t="str">
            <v>Distrito Capital de Bogotá</v>
          </cell>
          <cell r="D50" t="str">
            <v>Bogotá</v>
          </cell>
          <cell r="E50" t="str">
            <v>Colombia, Bogotá,  Bogotá</v>
          </cell>
          <cell r="F50" t="str">
            <v>Nacional</v>
          </cell>
          <cell r="G50" t="str">
            <v>Tecnologías de la Información y las Comunicaciones</v>
          </cell>
          <cell r="H50" t="str">
            <v>Ejecutivo</v>
          </cell>
          <cell r="I50" t="str">
            <v>Centralizada</v>
          </cell>
          <cell r="J50" t="str">
            <v>CO1.BDOS.9313121</v>
          </cell>
          <cell r="K50" t="str">
            <v>CO1.PCCNTR.8884200</v>
          </cell>
          <cell r="L50" t="str">
            <v>CONTRATO 30 DE 2026</v>
          </cell>
          <cell r="M50" t="str">
            <v>En ejecución</v>
          </cell>
          <cell r="N50" t="str">
            <v>V1.81111507</v>
          </cell>
          <cell r="O50"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v>
          </cell>
          <cell r="P50" t="str">
            <v>Prestación de servicios</v>
          </cell>
          <cell r="Q50" t="str">
            <v>Contratación directa</v>
          </cell>
          <cell r="R50" t="str">
            <v>Servicios profesionales y apoyo a la gestión</v>
          </cell>
          <cell r="S50" t="str">
            <v>01/15/2026</v>
          </cell>
          <cell r="T50" t="str">
            <v>01/16/2026</v>
          </cell>
          <cell r="U50" t="str">
            <v>12/31/2026</v>
          </cell>
          <cell r="V50" t="str">
            <v>NXTWY.DLVY.6</v>
          </cell>
          <cell r="W50" t="str">
            <v>Cédula de Ciudadanía</v>
          </cell>
          <cell r="X50" t="str">
            <v>88241099</v>
          </cell>
          <cell r="Y50" t="str">
            <v>JORICO80</v>
          </cell>
          <cell r="Z50" t="str">
            <v>No</v>
          </cell>
          <cell r="AA50" t="str">
            <v>No</v>
          </cell>
          <cell r="AB50" t="str">
            <v>No</v>
          </cell>
          <cell r="AC50" t="str">
            <v>No</v>
          </cell>
          <cell r="AD50" t="str">
            <v>No</v>
          </cell>
          <cell r="AE50" t="str">
            <v>No</v>
          </cell>
          <cell r="AF50" t="str">
            <v>No</v>
          </cell>
          <cell r="AG50" t="str">
            <v>Distribuido</v>
          </cell>
          <cell r="AH50" t="str">
            <v>Inversión</v>
          </cell>
          <cell r="AI50" t="str">
            <v>$157,074,000</v>
          </cell>
          <cell r="AJ50">
            <v>0</v>
          </cell>
          <cell r="AK50" t="str">
            <v>$116,098,168</v>
          </cell>
          <cell r="AL50" t="str">
            <v>$40,975,832</v>
          </cell>
          <cell r="AM50" t="str">
            <v>$116,098,168</v>
          </cell>
          <cell r="AN50">
            <v>0</v>
          </cell>
          <cell r="AO50">
            <v>0</v>
          </cell>
          <cell r="AP50" t="str">
            <v>$40,975,832</v>
          </cell>
          <cell r="AQ50" t="str">
            <v>$157,074,000</v>
          </cell>
          <cell r="AR50">
            <v>0</v>
          </cell>
          <cell r="AS50" t="str">
            <v>No</v>
          </cell>
          <cell r="AT50">
            <v>0</v>
          </cell>
          <cell r="AU50" t="str">
            <v>No aplica</v>
          </cell>
          <cell r="AV50" t="str">
            <v>No aplica</v>
          </cell>
          <cell r="AW50" t="str">
            <v>https://community.secop.gov.co/Public/Tendering/OpportunityDetail/Index?noticeUID=CO1.NTC.9516969&amp;isFromPublicArea=True&amp;isModal=true&amp;asPopupView=true</v>
          </cell>
          <cell r="AX50" t="str">
            <v>JOHANN RINCÓN CORREA</v>
          </cell>
          <cell r="AY50" t="str">
            <v>CO</v>
          </cell>
          <cell r="AZ50" t="str">
            <v>CARRERA 25 #45C-53 EDIF.BQ45C APTO 401</v>
          </cell>
          <cell r="BA50" t="str">
            <v>Cédula de Ciudadanía</v>
          </cell>
          <cell r="BB50" t="str">
            <v>88241099</v>
          </cell>
          <cell r="BC50" t="str">
            <v>Hombre</v>
          </cell>
          <cell r="BD50" t="str">
            <v>$157,074,000</v>
          </cell>
          <cell r="BE50">
            <v>0</v>
          </cell>
          <cell r="BF50">
            <v>0</v>
          </cell>
          <cell r="BG50">
            <v>0</v>
          </cell>
          <cell r="BH50">
            <v>0</v>
          </cell>
          <cell r="BI50">
            <v>0</v>
          </cell>
          <cell r="BK50" t="str">
            <v>700,149,040</v>
          </cell>
          <cell r="BL50">
            <v>701408197</v>
          </cell>
          <cell r="BM50" t="str">
            <v/>
          </cell>
          <cell r="BO50"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y al Plan de Acción año 2026; en cumplimiento de la Política de Gobierno Digi</v>
          </cell>
          <cell r="BP50" t="str">
            <v>345 Dia(s)</v>
          </cell>
          <cell r="BQ50" t="str">
            <v>No definido</v>
          </cell>
          <cell r="BR50" t="str">
            <v>No Definido</v>
          </cell>
          <cell r="BS50" t="str">
            <v>No definido</v>
          </cell>
          <cell r="BT50" t="str">
            <v>No</v>
          </cell>
          <cell r="BU50" t="str">
            <v/>
          </cell>
          <cell r="BV50" t="str">
            <v>Zoila Consuelo Vargas Mesa</v>
          </cell>
          <cell r="BW50" t="str">
            <v>Cédula de Ciudadanía</v>
          </cell>
          <cell r="BX50" t="str">
            <v>46360403</v>
          </cell>
          <cell r="BY50" t="str">
            <v>INGRID PICON CARRASCAL</v>
          </cell>
          <cell r="BZ50" t="str">
            <v>Cédula de Ciudadanía</v>
          </cell>
          <cell r="CA50" t="str">
            <v>60372503</v>
          </cell>
          <cell r="CB50" t="str">
            <v>No definido</v>
          </cell>
          <cell r="CC50" t="str">
            <v>No definido</v>
          </cell>
          <cell r="CD50" t="str">
            <v>No definido</v>
          </cell>
          <cell r="CE50" t="str">
            <v>No</v>
          </cell>
          <cell r="CF50" t="str">
            <v>No definido</v>
          </cell>
          <cell r="CG50" t="str">
            <v>Calle 59 a Bis # 5 - 53 Piso 9 EDIFICIO LINK SIETE SESENTA
Bogotá
Distrito Capital de Bogotá
COLOMBIA</v>
          </cell>
          <cell r="CH50" t="str">
            <v>No definido</v>
          </cell>
          <cell r="CI50" t="str">
            <v>No definido</v>
          </cell>
          <cell r="CJ50" t="str">
            <v>No definido</v>
          </cell>
          <cell r="CK50" t="str">
            <v>No definido</v>
          </cell>
          <cell r="CL50" t="str">
            <v>No definido</v>
          </cell>
          <cell r="CM50" t="str">
            <v>No</v>
          </cell>
          <cell r="CN50" t="str">
            <v/>
          </cell>
          <cell r="CO50" t="str">
            <v/>
          </cell>
          <cell r="CP50" t="str">
            <v/>
          </cell>
          <cell r="CQ50" t="str">
            <v/>
          </cell>
        </row>
        <row r="51">
          <cell r="A51" t="str">
            <v>COMISIÓN DE REGULACIÓN DE COMUNICACIONES</v>
          </cell>
          <cell r="B51" t="str">
            <v>830,002,593</v>
          </cell>
          <cell r="C51" t="str">
            <v>Distrito Capital de Bogotá</v>
          </cell>
          <cell r="D51" t="str">
            <v>Bogotá</v>
          </cell>
          <cell r="E51" t="str">
            <v>Colombia, Bogotá,  Bogotá</v>
          </cell>
          <cell r="F51" t="str">
            <v>Nacional</v>
          </cell>
          <cell r="G51" t="str">
            <v>Tecnologías de la Información y las Comunicaciones</v>
          </cell>
          <cell r="H51" t="str">
            <v>Ejecutivo</v>
          </cell>
          <cell r="I51" t="str">
            <v>Centralizada</v>
          </cell>
          <cell r="J51" t="str">
            <v>CO1.BDOS.9274111</v>
          </cell>
          <cell r="K51" t="str">
            <v>CO1.PCCNTR.8874149</v>
          </cell>
          <cell r="L51" t="str">
            <v>CONTRATO 07 DE 2026</v>
          </cell>
          <cell r="M51" t="str">
            <v>En ejecución</v>
          </cell>
          <cell r="N51" t="str">
            <v>V1.80161500</v>
          </cell>
          <cell r="O51" t="str">
            <v>Prestar apoyo profesional a la Coordinación de Relaciones con Grupos de Valor; orientado al fortalecimiento de la Estrategia de Servicio al Ciudadano; la racionalización de trámites y la mejora continua en la atención y satisfacción de los grupos de valor de la Comisión de Regulación de Comunicacion</v>
          </cell>
          <cell r="P51" t="str">
            <v>Prestación de servicios</v>
          </cell>
          <cell r="Q51" t="str">
            <v>Contratación directa</v>
          </cell>
          <cell r="R51" t="str">
            <v>Servicios profesionales y apoyo a la gestión</v>
          </cell>
          <cell r="S51" t="str">
            <v>01/14/2026</v>
          </cell>
          <cell r="T51" t="str">
            <v>01/16/2026</v>
          </cell>
          <cell r="U51" t="str">
            <v>12/31/2026</v>
          </cell>
          <cell r="V51" t="str">
            <v>No Definido</v>
          </cell>
          <cell r="W51" t="str">
            <v>Cédula de Ciudadanía</v>
          </cell>
          <cell r="X51" t="str">
            <v>1010024899</v>
          </cell>
          <cell r="Y51" t="str">
            <v>DIEGO ALEJANDRO DURAN ESPITIA</v>
          </cell>
          <cell r="Z51" t="str">
            <v>No</v>
          </cell>
          <cell r="AA51" t="str">
            <v>No</v>
          </cell>
          <cell r="AB51" t="str">
            <v>No</v>
          </cell>
          <cell r="AC51" t="str">
            <v>No</v>
          </cell>
          <cell r="AD51" t="str">
            <v>No</v>
          </cell>
          <cell r="AE51" t="str">
            <v>No</v>
          </cell>
          <cell r="AF51" t="str">
            <v>No</v>
          </cell>
          <cell r="AG51" t="str">
            <v>Distribuido</v>
          </cell>
          <cell r="AH51" t="str">
            <v>Inversión</v>
          </cell>
          <cell r="AI51" t="str">
            <v>$70,575,592</v>
          </cell>
          <cell r="AJ51">
            <v>0</v>
          </cell>
          <cell r="AK51" t="str">
            <v>$52,164,568</v>
          </cell>
          <cell r="AL51" t="str">
            <v>$24,548,032</v>
          </cell>
          <cell r="AM51" t="str">
            <v>$46,027,560</v>
          </cell>
          <cell r="AN51">
            <v>0</v>
          </cell>
          <cell r="AO51">
            <v>0</v>
          </cell>
          <cell r="AP51" t="str">
            <v>$24,548,032</v>
          </cell>
          <cell r="AQ51" t="str">
            <v>$70,575,592</v>
          </cell>
          <cell r="AR51">
            <v>0</v>
          </cell>
          <cell r="AS51" t="str">
            <v>No</v>
          </cell>
          <cell r="AT51">
            <v>0</v>
          </cell>
          <cell r="AU51" t="str">
            <v>No aplica</v>
          </cell>
          <cell r="AV51" t="str">
            <v>No aplica</v>
          </cell>
          <cell r="AW51" t="str">
            <v>https://community.secop.gov.co/Public/Tendering/OpportunityDetail/Index?noticeUID=CO1.NTC.9504962&amp;isFromPublicArea=True&amp;isModal=true&amp;asPopupView=true</v>
          </cell>
          <cell r="AX51" t="str">
            <v>DIEGO ALEJANDRO DURAN ESPITIA</v>
          </cell>
          <cell r="AY51" t="str">
            <v>CO</v>
          </cell>
          <cell r="AZ51" t="str">
            <v>No Definido</v>
          </cell>
          <cell r="BA51" t="str">
            <v>Sin Descripcion</v>
          </cell>
          <cell r="BB51" t="str">
            <v>Sin Descripcion</v>
          </cell>
          <cell r="BC51" t="str">
            <v>Hombre</v>
          </cell>
          <cell r="BD51" t="str">
            <v>$70,575,592</v>
          </cell>
          <cell r="BE51">
            <v>0</v>
          </cell>
          <cell r="BF51">
            <v>0</v>
          </cell>
          <cell r="BG51">
            <v>0</v>
          </cell>
          <cell r="BH51">
            <v>0</v>
          </cell>
          <cell r="BI51">
            <v>0</v>
          </cell>
          <cell r="BK51" t="str">
            <v>700,149,040</v>
          </cell>
          <cell r="BL51">
            <v>724322565</v>
          </cell>
          <cell r="BM51" t="str">
            <v/>
          </cell>
          <cell r="BO51" t="str">
            <v>Prestar apoyo profesional a la Coordinación de Relaciones con Grupos de Valor; orientado al fortalecimiento de la Estrategia de Servicio al Ciudadano; la racionalización de trámites y la mejora continua en la atención y satisfacción de los grupos de valor de la Comisión de Regulación de Comunicaciones CRC. Para ello; desarrollará actividades relacionadas con el seguimiento y gestión de solicitudes; consultas y trámites; el monitoreo de la operación del Centro de Contacto</v>
          </cell>
          <cell r="BP51" t="str">
            <v>345 Dia(s)</v>
          </cell>
          <cell r="BQ51" t="str">
            <v>No definido</v>
          </cell>
          <cell r="BR51" t="str">
            <v>No Definido</v>
          </cell>
          <cell r="BS51" t="str">
            <v>No definido</v>
          </cell>
          <cell r="BT51" t="str">
            <v>No</v>
          </cell>
          <cell r="BU51" t="str">
            <v/>
          </cell>
          <cell r="BV51" t="str">
            <v>Zoila Consuelo Vargas Mesa</v>
          </cell>
          <cell r="BW51" t="str">
            <v>Cédula de Ciudadanía</v>
          </cell>
          <cell r="BX51" t="str">
            <v>46360403</v>
          </cell>
          <cell r="BY51" t="str">
            <v>Mariana Sarmiento Arguello</v>
          </cell>
          <cell r="BZ51" t="str">
            <v>Cédula de Ciudadanía</v>
          </cell>
          <cell r="CA51" t="str">
            <v>52862292</v>
          </cell>
          <cell r="CB51" t="str">
            <v>Zoila Consuelo Vargas Mesa</v>
          </cell>
          <cell r="CC51" t="str">
            <v>Cédula de Ciudadanía</v>
          </cell>
          <cell r="CD51" t="str">
            <v>46360403</v>
          </cell>
          <cell r="CE51" t="str">
            <v>No</v>
          </cell>
          <cell r="CF51" t="str">
            <v>No definido</v>
          </cell>
          <cell r="CG51" t="str">
            <v>Calle 59 a Bis # 5 - 53 Piso 9 EDIFICIO LINK SIETE SESENTA
Bogotá
Distrito Capital de Bogotá
COLOMBIA</v>
          </cell>
          <cell r="CH51" t="str">
            <v>No definido</v>
          </cell>
          <cell r="CI51" t="str">
            <v>No definido</v>
          </cell>
          <cell r="CJ51" t="str">
            <v>No definido</v>
          </cell>
          <cell r="CK51" t="str">
            <v>No definido</v>
          </cell>
          <cell r="CL51" t="str">
            <v>No definido</v>
          </cell>
          <cell r="CM51" t="str">
            <v>No</v>
          </cell>
          <cell r="CN51" t="str">
            <v/>
          </cell>
          <cell r="CO51" t="str">
            <v/>
          </cell>
          <cell r="CP51" t="str">
            <v/>
          </cell>
          <cell r="CQ51" t="str">
            <v/>
          </cell>
        </row>
        <row r="52">
          <cell r="A52" t="str">
            <v>COMISIÓN DE REGULACIÓN DE COMUNICACIONES</v>
          </cell>
          <cell r="B52" t="str">
            <v>830,002,593</v>
          </cell>
          <cell r="C52" t="str">
            <v>Distrito Capital de Bogotá</v>
          </cell>
          <cell r="D52" t="str">
            <v>Bogotá</v>
          </cell>
          <cell r="E52" t="str">
            <v>Colombia, Bogotá,  Bogotá</v>
          </cell>
          <cell r="F52" t="str">
            <v>Nacional</v>
          </cell>
          <cell r="G52" t="str">
            <v>Tecnologías de la Información y las Comunicaciones</v>
          </cell>
          <cell r="H52" t="str">
            <v>Ejecutivo</v>
          </cell>
          <cell r="I52" t="str">
            <v>Centralizada</v>
          </cell>
          <cell r="J52" t="str">
            <v>CO1.BDOS.10337260</v>
          </cell>
          <cell r="K52" t="str">
            <v>CO1.PCCNTR.9755373</v>
          </cell>
          <cell r="L52" t="str">
            <v>CONTRATO 83 DE 2026</v>
          </cell>
          <cell r="M52" t="str">
            <v>En ejecución</v>
          </cell>
          <cell r="N52" t="str">
            <v>UNSPECIFIED</v>
          </cell>
          <cell r="O52" t="str">
            <v>Renovación del licenciamiento actual del software de Gestión de Servicios de TI (ITSM) Aranda Service Desk (ASDK) y Aranda Client Management (ACM) hacia un modelo de suscripción cloud con la solución Aranda Service Management Suite (ASMS) y Device Management (ADM); incluyendo los servicios requerido</v>
          </cell>
          <cell r="P52" t="str">
            <v>Prestación de servicios</v>
          </cell>
          <cell r="Q52" t="str">
            <v>Selección Abreviada de Menor Cuantía</v>
          </cell>
          <cell r="R52" t="str">
            <v>Presupuesto menor al 10% de la Menor Cuantía</v>
          </cell>
          <cell r="S52" t="str">
            <v>08/06/2026</v>
          </cell>
          <cell r="T52" t="str">
            <v>08/18/2026</v>
          </cell>
          <cell r="U52" t="str">
            <v>08/17/2027</v>
          </cell>
          <cell r="V52" t="str">
            <v>NXTWY.DLVY.6</v>
          </cell>
          <cell r="W52" t="str">
            <v>NIT</v>
          </cell>
          <cell r="X52" t="str">
            <v>900394093</v>
          </cell>
          <cell r="Y52" t="str">
            <v>BUSINESS ALLIANCE GROUP SAS</v>
          </cell>
          <cell r="Z52" t="str">
            <v>No</v>
          </cell>
          <cell r="AA52" t="str">
            <v>Si</v>
          </cell>
          <cell r="AB52" t="str">
            <v>No</v>
          </cell>
          <cell r="AC52" t="str">
            <v>Si</v>
          </cell>
          <cell r="AD52" t="str">
            <v>No</v>
          </cell>
          <cell r="AE52" t="str">
            <v>No</v>
          </cell>
          <cell r="AF52" t="str">
            <v>No</v>
          </cell>
          <cell r="AG52" t="str">
            <v>Distribuido</v>
          </cell>
          <cell r="AH52" t="str">
            <v>Inversión</v>
          </cell>
          <cell r="AI52" t="str">
            <v>$90,950,000</v>
          </cell>
          <cell r="AJ52">
            <v>0</v>
          </cell>
          <cell r="AK52" t="str">
            <v>$0</v>
          </cell>
          <cell r="AL52" t="str">
            <v>$90,950,000</v>
          </cell>
          <cell r="AM52" t="str">
            <v>$0</v>
          </cell>
          <cell r="AN52">
            <v>0</v>
          </cell>
          <cell r="AO52">
            <v>0</v>
          </cell>
          <cell r="AP52" t="str">
            <v>$90,950,000</v>
          </cell>
          <cell r="AQ52" t="str">
            <v>$111,014,148</v>
          </cell>
          <cell r="AR52">
            <v>0</v>
          </cell>
          <cell r="AS52" t="str">
            <v>No</v>
          </cell>
          <cell r="AT52">
            <v>0</v>
          </cell>
          <cell r="AU52" t="str">
            <v>No aplica</v>
          </cell>
          <cell r="AV52" t="str">
            <v>No aplica</v>
          </cell>
          <cell r="AW52" t="str">
            <v>https://community.secop.gov.co/Public/Tendering/OpportunityDetail/Index?noticeUID=CO1.NTC.10447063&amp;isFromPublicArea=True&amp;isModal=true&amp;asPopupView=true</v>
          </cell>
          <cell r="AX52" t="str">
            <v>Ricardo González Garzón</v>
          </cell>
          <cell r="AY52" t="str">
            <v>CO</v>
          </cell>
          <cell r="AZ52" t="str">
            <v>TV 60 No.114A-50 TORRE SUR APTO 807</v>
          </cell>
          <cell r="BA52" t="str">
            <v>Cédula de Ciudadanía</v>
          </cell>
          <cell r="BB52" t="str">
            <v>79057433</v>
          </cell>
          <cell r="BC52" t="str">
            <v>Mujer</v>
          </cell>
          <cell r="BD52" t="str">
            <v>$90,950,000</v>
          </cell>
          <cell r="BE52">
            <v>0</v>
          </cell>
          <cell r="BF52">
            <v>0</v>
          </cell>
          <cell r="BG52">
            <v>0</v>
          </cell>
          <cell r="BH52">
            <v>0</v>
          </cell>
          <cell r="BI52">
            <v>0</v>
          </cell>
          <cell r="BK52" t="str">
            <v>700,149,040</v>
          </cell>
          <cell r="BL52">
            <v>701742777</v>
          </cell>
          <cell r="BM52" t="str">
            <v>2027 Aug 24 12:00:00 AM</v>
          </cell>
          <cell r="BN52">
            <v>47841</v>
          </cell>
          <cell r="BO52" t="str">
            <v>Renovación del licenciamiento actual del software de Gestión de Servicios de TI (ITSM) Aranda Service Desk (ASDK) y Aranda Client Management (ACM) hacia un modelo de suscripción cloud con la solución Aranda Service Management Suite (ASMS) y Device Management (ADM); incluyendo los servicios requeridos para su implementación; migración y puesta en operación para la Comisión de Regulación de Comunicaciones - CRC.</v>
          </cell>
          <cell r="BP52" t="str">
            <v>365 Dia(s)</v>
          </cell>
          <cell r="BQ52" t="str">
            <v>No definido</v>
          </cell>
          <cell r="BR52" t="str">
            <v>No Definido</v>
          </cell>
          <cell r="BS52" t="str">
            <v>No definido</v>
          </cell>
          <cell r="BT52" t="str">
            <v>No</v>
          </cell>
          <cell r="BU52" t="str">
            <v/>
          </cell>
          <cell r="BV52" t="str">
            <v>No definido</v>
          </cell>
          <cell r="BW52" t="str">
            <v>No definido</v>
          </cell>
          <cell r="BX52" t="str">
            <v>No definido</v>
          </cell>
          <cell r="BY52" t="str">
            <v>No definido</v>
          </cell>
          <cell r="BZ52" t="str">
            <v>No definido</v>
          </cell>
          <cell r="CA52" t="str">
            <v>No definido</v>
          </cell>
          <cell r="CB52" t="str">
            <v>No definido</v>
          </cell>
          <cell r="CC52" t="str">
            <v>No definido</v>
          </cell>
          <cell r="CD52" t="str">
            <v>No definido</v>
          </cell>
          <cell r="CE52" t="str">
            <v>No</v>
          </cell>
          <cell r="CF52" t="str">
            <v>No definido</v>
          </cell>
          <cell r="CG52" t="str">
            <v>Calle 59 a Bis # 5 - 53 Piso 9 EDIFICIO LINK SIETE SESENTA
Bogotá
Distrito Capital de Bogotá
COLOMBIA</v>
          </cell>
          <cell r="CH52" t="str">
            <v>No definido</v>
          </cell>
          <cell r="CI52" t="str">
            <v>No definido</v>
          </cell>
          <cell r="CJ52" t="str">
            <v>No definido</v>
          </cell>
          <cell r="CK52" t="str">
            <v>No definido</v>
          </cell>
          <cell r="CL52" t="str">
            <v>No definido</v>
          </cell>
          <cell r="CM52" t="str">
            <v>No</v>
          </cell>
          <cell r="CN52" t="str">
            <v/>
          </cell>
          <cell r="CO52" t="str">
            <v/>
          </cell>
          <cell r="CP52" t="str">
            <v/>
          </cell>
          <cell r="CQ52" t="str">
            <v/>
          </cell>
        </row>
        <row r="53">
          <cell r="A53" t="str">
            <v>COMISIÓN DE REGULACIÓN DE COMUNICACIONES</v>
          </cell>
          <cell r="B53" t="str">
            <v>830,002,593</v>
          </cell>
          <cell r="C53" t="str">
            <v>Distrito Capital de Bogotá</v>
          </cell>
          <cell r="D53" t="str">
            <v>Bogotá</v>
          </cell>
          <cell r="E53" t="str">
            <v>Colombia, Bogotá,  Bogotá</v>
          </cell>
          <cell r="F53" t="str">
            <v>Nacional</v>
          </cell>
          <cell r="G53" t="str">
            <v>Tecnologías de la Información y las Comunicaciones</v>
          </cell>
          <cell r="H53" t="str">
            <v>Ejecutivo</v>
          </cell>
          <cell r="I53" t="str">
            <v>Centralizada</v>
          </cell>
          <cell r="J53" t="str">
            <v>CO1.BDOS.9272581</v>
          </cell>
          <cell r="K53" t="str">
            <v>CO1.PCCNTR.8856705</v>
          </cell>
          <cell r="L53" t="str">
            <v>CONTRATO 05 DE 2026</v>
          </cell>
          <cell r="M53" t="str">
            <v>En ejecución</v>
          </cell>
          <cell r="N53" t="str">
            <v>V1.83121703</v>
          </cell>
          <cell r="O53" t="str">
            <v>Prestar los servicios profesionales para apoyar la administración; actualización y gestión técnica y de contenidos del portal web institucional y demás canales digitales de la Comisión de Regulación de Comunicaciones (CRC); en cumplimiento de la Estrategia de Comunicaciones 2026 y de los lineamiento</v>
          </cell>
          <cell r="P53" t="str">
            <v>Prestación de servicios</v>
          </cell>
          <cell r="Q53" t="str">
            <v>Contratación directa</v>
          </cell>
          <cell r="R53" t="str">
            <v>Servicios profesionales y apoyo a la gestión</v>
          </cell>
          <cell r="S53" t="str">
            <v>01/14/2026</v>
          </cell>
          <cell r="T53" t="str">
            <v>01/16/2026</v>
          </cell>
          <cell r="U53" t="str">
            <v>12/31/2026</v>
          </cell>
          <cell r="V53" t="str">
            <v>No Definido</v>
          </cell>
          <cell r="W53" t="str">
            <v>Cédula de Ciudadanía</v>
          </cell>
          <cell r="X53" t="str">
            <v>80111868</v>
          </cell>
          <cell r="Y53" t="str">
            <v>Juan Manuel Velasco Cepeda</v>
          </cell>
          <cell r="Z53" t="str">
            <v>No</v>
          </cell>
          <cell r="AA53" t="str">
            <v>No</v>
          </cell>
          <cell r="AB53" t="str">
            <v>No</v>
          </cell>
          <cell r="AC53" t="str">
            <v>No</v>
          </cell>
          <cell r="AD53" t="str">
            <v>No</v>
          </cell>
          <cell r="AE53" t="str">
            <v>No</v>
          </cell>
          <cell r="AF53" t="str">
            <v>No</v>
          </cell>
          <cell r="AG53" t="str">
            <v>Distribuido</v>
          </cell>
          <cell r="AH53" t="str">
            <v>Inversión</v>
          </cell>
          <cell r="AI53" t="str">
            <v>$128,314,988</v>
          </cell>
          <cell r="AJ53">
            <v>0</v>
          </cell>
          <cell r="AK53" t="str">
            <v>$94,841,512.5</v>
          </cell>
          <cell r="AL53" t="str">
            <v>$44,631,300.5</v>
          </cell>
          <cell r="AM53" t="str">
            <v>$83,683,687.5</v>
          </cell>
          <cell r="AN53">
            <v>0</v>
          </cell>
          <cell r="AO53">
            <v>0</v>
          </cell>
          <cell r="AP53" t="str">
            <v>$44,631,300.5</v>
          </cell>
          <cell r="AQ53" t="str">
            <v>$128,314,988</v>
          </cell>
          <cell r="AR53">
            <v>0</v>
          </cell>
          <cell r="AS53" t="str">
            <v>No</v>
          </cell>
          <cell r="AT53">
            <v>0</v>
          </cell>
          <cell r="AU53" t="str">
            <v>No aplica</v>
          </cell>
          <cell r="AV53" t="str">
            <v>No aplica</v>
          </cell>
          <cell r="AW53" t="str">
            <v>https://community.secop.gov.co/Public/Tendering/OpportunityDetail/Index?noticeUID=CO1.NTC.9486485&amp;isFromPublicArea=True&amp;isModal=true&amp;asPopupView=true</v>
          </cell>
          <cell r="AX53" t="str">
            <v>Juan Manuel Velasco Cepeda</v>
          </cell>
          <cell r="AY53" t="str">
            <v>CO</v>
          </cell>
          <cell r="AZ53" t="str">
            <v>Cra 13 # 147 - 26</v>
          </cell>
          <cell r="BA53" t="str">
            <v>Sin Descripcion</v>
          </cell>
          <cell r="BB53" t="str">
            <v>Sin Descripcion</v>
          </cell>
          <cell r="BC53" t="str">
            <v>Hombre</v>
          </cell>
          <cell r="BD53" t="str">
            <v>$128,314,988</v>
          </cell>
          <cell r="BE53">
            <v>0</v>
          </cell>
          <cell r="BF53">
            <v>0</v>
          </cell>
          <cell r="BG53">
            <v>0</v>
          </cell>
          <cell r="BH53">
            <v>0</v>
          </cell>
          <cell r="BI53">
            <v>0</v>
          </cell>
          <cell r="BK53" t="str">
            <v>700,149,040</v>
          </cell>
          <cell r="BL53">
            <v>702833971</v>
          </cell>
          <cell r="BM53" t="str">
            <v/>
          </cell>
          <cell r="BO53" t="str">
            <v>Prestar los servicios profesionales para apoyar la administración; actualización y gestión técnica y de contenidos del portal web institucional y demás canales digitales de la Comisión de Regulación de Comunicaciones (CRC); en cumplimiento de la Estrategia de Comunicaciones 2026 y de los lineamientos de accesibilidad; transparencia y gobierno digital.</v>
          </cell>
          <cell r="BP53" t="str">
            <v>345 Dia(s)</v>
          </cell>
          <cell r="BQ53" t="str">
            <v>No definido</v>
          </cell>
          <cell r="BR53" t="str">
            <v>No Definido</v>
          </cell>
          <cell r="BS53" t="str">
            <v>No definido</v>
          </cell>
          <cell r="BT53" t="str">
            <v>No</v>
          </cell>
          <cell r="BU53" t="str">
            <v/>
          </cell>
          <cell r="BV53" t="str">
            <v>Zoila Consuelo Vargas Mesa</v>
          </cell>
          <cell r="BW53" t="str">
            <v>Cédula de Ciudadanía</v>
          </cell>
          <cell r="BX53" t="str">
            <v>46360403</v>
          </cell>
          <cell r="BY53" t="str">
            <v>Mariana Sarmiento Arguello</v>
          </cell>
          <cell r="BZ53" t="str">
            <v>Cédula de Ciudadanía</v>
          </cell>
          <cell r="CA53" t="str">
            <v>52862292</v>
          </cell>
          <cell r="CB53" t="str">
            <v>Zoila Consuelo Vargas Mesa</v>
          </cell>
          <cell r="CC53" t="str">
            <v>Cédula de Ciudadanía</v>
          </cell>
          <cell r="CD53" t="str">
            <v>46360403</v>
          </cell>
          <cell r="CE53" t="str">
            <v>No</v>
          </cell>
          <cell r="CF53" t="str">
            <v>No definido</v>
          </cell>
          <cell r="CG53" t="str">
            <v>Calle 59 a Bis # 5 - 53 Piso 9 EDIFICIO LINK SIETE SESENTA
Bogotá
Distrito Capital de Bogotá
COLOMBIA</v>
          </cell>
          <cell r="CH53" t="str">
            <v>No definido</v>
          </cell>
          <cell r="CI53" t="str">
            <v>No definido</v>
          </cell>
          <cell r="CJ53" t="str">
            <v>No definido</v>
          </cell>
          <cell r="CK53" t="str">
            <v>No definido</v>
          </cell>
          <cell r="CL53" t="str">
            <v>No definido</v>
          </cell>
          <cell r="CM53" t="str">
            <v>No</v>
          </cell>
          <cell r="CN53" t="str">
            <v/>
          </cell>
          <cell r="CO53" t="str">
            <v/>
          </cell>
          <cell r="CP53" t="str">
            <v/>
          </cell>
          <cell r="CQ53" t="str">
            <v/>
          </cell>
        </row>
        <row r="54">
          <cell r="A54" t="str">
            <v>COMISIÓN DE REGULACIÓN DE COMUNICACIONES</v>
          </cell>
          <cell r="B54" t="str">
            <v>830,002,593</v>
          </cell>
          <cell r="C54" t="str">
            <v>Distrito Capital de Bogotá</v>
          </cell>
          <cell r="D54" t="str">
            <v>Bogotá</v>
          </cell>
          <cell r="E54" t="str">
            <v>Colombia, Bogotá,  Bogotá</v>
          </cell>
          <cell r="F54" t="str">
            <v>Nacional</v>
          </cell>
          <cell r="G54" t="str">
            <v>Tecnologías de la Información y las Comunicaciones</v>
          </cell>
          <cell r="H54" t="str">
            <v>Ejecutivo</v>
          </cell>
          <cell r="I54" t="str">
            <v>Centralizada</v>
          </cell>
          <cell r="J54" t="str">
            <v>CO1.BDOS.10611198</v>
          </cell>
          <cell r="K54" t="str">
            <v>CO1.PCCNTR.9766562</v>
          </cell>
          <cell r="L54" t="str">
            <v>CONTRATO 85 DE 2026</v>
          </cell>
          <cell r="M54" t="str">
            <v>En ejecución</v>
          </cell>
          <cell r="N54" t="str">
            <v>V1.81111501</v>
          </cell>
          <cell r="O54" t="str">
            <v>Prestar servicios profesionales especializados de apoyo a la CRC en la configuración; y actualización del entorno LMS (Moodle) del ecosistema Aula CRC; así como la virtualización de nuevos contenidos y la adecuación de recursos pedagógicos interactivos de cursos tipo MOOC; de acuerdo con los requeri</v>
          </cell>
          <cell r="P54" t="str">
            <v>Prestación de servicios</v>
          </cell>
          <cell r="Q54" t="str">
            <v>Contratación directa</v>
          </cell>
          <cell r="R54" t="str">
            <v>Servicios profesionales y apoyo a la gestión</v>
          </cell>
          <cell r="S54" t="str">
            <v>08/05/2026</v>
          </cell>
          <cell r="T54" t="str">
            <v>08/11/2026</v>
          </cell>
          <cell r="U54" t="str">
            <v>12/26/2026</v>
          </cell>
          <cell r="V54" t="str">
            <v>No Definido</v>
          </cell>
          <cell r="W54" t="str">
            <v>Cédula de Ciudadanía</v>
          </cell>
          <cell r="X54" t="str">
            <v>1022385102</v>
          </cell>
          <cell r="Y54" t="str">
            <v>Jonathan David Asias Pino</v>
          </cell>
          <cell r="Z54" t="str">
            <v>No</v>
          </cell>
          <cell r="AA54" t="str">
            <v>No</v>
          </cell>
          <cell r="AB54" t="str">
            <v>No</v>
          </cell>
          <cell r="AC54" t="str">
            <v>No</v>
          </cell>
          <cell r="AD54" t="str">
            <v>No</v>
          </cell>
          <cell r="AE54" t="str">
            <v>No</v>
          </cell>
          <cell r="AF54" t="str">
            <v>No</v>
          </cell>
          <cell r="AG54" t="str">
            <v>Distribuido</v>
          </cell>
          <cell r="AH54" t="str">
            <v>Inversión</v>
          </cell>
          <cell r="AI54" t="str">
            <v>$27,450,000</v>
          </cell>
          <cell r="AJ54">
            <v>0</v>
          </cell>
          <cell r="AK54" t="str">
            <v>$6,100,000</v>
          </cell>
          <cell r="AL54" t="str">
            <v>$21,350,000</v>
          </cell>
          <cell r="AM54" t="str">
            <v>$6,100,000</v>
          </cell>
          <cell r="AN54">
            <v>0</v>
          </cell>
          <cell r="AO54">
            <v>0</v>
          </cell>
          <cell r="AP54" t="str">
            <v>$21,350,000</v>
          </cell>
          <cell r="AQ54" t="str">
            <v>$27,450,000</v>
          </cell>
          <cell r="AR54">
            <v>0</v>
          </cell>
          <cell r="AS54" t="str">
            <v>No</v>
          </cell>
          <cell r="AT54">
            <v>0</v>
          </cell>
          <cell r="AU54" t="str">
            <v>No aplica</v>
          </cell>
          <cell r="AV54" t="str">
            <v>No aplica</v>
          </cell>
          <cell r="AW54" t="str">
            <v>https://community.secop.gov.co/Public/Tendering/OpportunityDetail/Index?noticeUID=CO1.NTC.10649706&amp;isFromPublicArea=True&amp;isModal=true&amp;asPopupView=true</v>
          </cell>
          <cell r="AX54" t="str">
            <v>JONATHAN DAVID ASIAS PINO</v>
          </cell>
          <cell r="AY54" t="str">
            <v>CO</v>
          </cell>
          <cell r="AZ54" t="str">
            <v>No Definido</v>
          </cell>
          <cell r="BA54" t="str">
            <v>Sin Descripcion</v>
          </cell>
          <cell r="BB54" t="str">
            <v>Sin Descripcion</v>
          </cell>
          <cell r="BC54" t="str">
            <v>Hombre</v>
          </cell>
          <cell r="BD54" t="str">
            <v>$27,450,000</v>
          </cell>
          <cell r="BE54">
            <v>0</v>
          </cell>
          <cell r="BF54">
            <v>0</v>
          </cell>
          <cell r="BG54">
            <v>0</v>
          </cell>
          <cell r="BH54">
            <v>0</v>
          </cell>
          <cell r="BI54">
            <v>0</v>
          </cell>
          <cell r="BK54" t="str">
            <v>700,149,040</v>
          </cell>
          <cell r="BL54">
            <v>737397463</v>
          </cell>
          <cell r="BM54" t="str">
            <v/>
          </cell>
          <cell r="BO54" t="str">
            <v>Prestar servicios profesionales especializados de apoyo a la CRC en la configuración; y actualización del entorno LMS (Moodle) del ecosistema Aula CRC; así como la virtualización de nuevos contenidos y la adecuación de recursos pedagógicos interactivos de cursos tipo MOOC; de acuerdo con los requerimientos y lineamientos técnicos definidos por la Entidad.</v>
          </cell>
          <cell r="BP54" t="str">
            <v>135 Dia(s)</v>
          </cell>
          <cell r="BQ54" t="str">
            <v>No definido</v>
          </cell>
          <cell r="BR54" t="str">
            <v>No Definido</v>
          </cell>
          <cell r="BS54" t="str">
            <v>No definido</v>
          </cell>
          <cell r="BT54" t="str">
            <v>No</v>
          </cell>
          <cell r="BU54" t="str">
            <v/>
          </cell>
          <cell r="BV54" t="str">
            <v>No definido</v>
          </cell>
          <cell r="BW54" t="str">
            <v>No definido</v>
          </cell>
          <cell r="BX54" t="str">
            <v>No definido</v>
          </cell>
          <cell r="BY54" t="str">
            <v>Ricardo Ramirez Hernandez</v>
          </cell>
          <cell r="BZ54" t="str">
            <v>Cédula de Ciudadanía</v>
          </cell>
          <cell r="CA54" t="str">
            <v>79444533</v>
          </cell>
          <cell r="CB54" t="str">
            <v>DIANA WILCHES</v>
          </cell>
          <cell r="CC54" t="str">
            <v>Cédula de Ciudadanía</v>
          </cell>
          <cell r="CD54" t="str">
            <v>40049758</v>
          </cell>
          <cell r="CE54" t="str">
            <v>No</v>
          </cell>
          <cell r="CF54" t="str">
            <v>No definido</v>
          </cell>
          <cell r="CG54" t="str">
            <v>Calle 59 a Bis # 5 - 53 Piso 9 EDIFICIO LINK SIETE SESENTA
Bogotá
Distrito Capital de Bogotá
COLOMBIA</v>
          </cell>
          <cell r="CH54" t="str">
            <v>No definido</v>
          </cell>
          <cell r="CI54" t="str">
            <v>No definido</v>
          </cell>
          <cell r="CJ54" t="str">
            <v>No definido</v>
          </cell>
          <cell r="CK54" t="str">
            <v>No definido</v>
          </cell>
          <cell r="CL54" t="str">
            <v>No definido</v>
          </cell>
          <cell r="CM54" t="str">
            <v>No</v>
          </cell>
          <cell r="CN54" t="str">
            <v/>
          </cell>
          <cell r="CO54" t="str">
            <v/>
          </cell>
          <cell r="CP54" t="str">
            <v/>
          </cell>
          <cell r="CQ54" t="str">
            <v/>
          </cell>
        </row>
        <row r="55">
          <cell r="A55" t="str">
            <v>COMISIÓN DE REGULACIÓN DE COMUNICACIONES</v>
          </cell>
          <cell r="B55" t="str">
            <v>830,002,593</v>
          </cell>
          <cell r="C55" t="str">
            <v>Distrito Capital de Bogotá</v>
          </cell>
          <cell r="D55" t="str">
            <v>Bogotá</v>
          </cell>
          <cell r="E55" t="str">
            <v>Colombia, Bogotá,  Bogotá</v>
          </cell>
          <cell r="F55" t="str">
            <v>Nacional</v>
          </cell>
          <cell r="G55" t="str">
            <v>Tecnologías de la Información y las Comunicaciones</v>
          </cell>
          <cell r="H55" t="str">
            <v>Ejecutivo</v>
          </cell>
          <cell r="I55" t="str">
            <v>Centralizada</v>
          </cell>
          <cell r="J55" t="str">
            <v>CO1.BDOS.9989559</v>
          </cell>
          <cell r="K55" t="str">
            <v>CO1.PCCNTR.9366465</v>
          </cell>
          <cell r="L55" t="str">
            <v>CONTRATO 60 DE 2026</v>
          </cell>
          <cell r="M55" t="str">
            <v>En ejecución</v>
          </cell>
          <cell r="N55" t="str">
            <v>V1.81112501</v>
          </cell>
          <cell r="O55" t="str">
            <v>Prestación del servicio de renovación de la suscripción por el término de un (1) año de una (1) licencia de la Suite de Adobe Creative Cloud Pro con contrato de licenciamiento VIP para la Comisión de Regulación de Comunicaciones; de conformidad con la Invitación Pública No. 61 de 2026 y la oferta pr</v>
          </cell>
          <cell r="P55" t="str">
            <v>Prestación de servicios</v>
          </cell>
          <cell r="Q55" t="str">
            <v>Mínima cuantía</v>
          </cell>
          <cell r="R55" t="str">
            <v>Presupuesto inferior al 10% de la menor cuantía</v>
          </cell>
          <cell r="S55" t="str">
            <v>03/03/2026</v>
          </cell>
          <cell r="T55" t="str">
            <v>03/10/2026</v>
          </cell>
          <cell r="U55" t="str">
            <v>03/09/2027</v>
          </cell>
          <cell r="V55" t="str">
            <v>NXTWY.DLVY.6</v>
          </cell>
          <cell r="W55" t="str">
            <v>NIT</v>
          </cell>
          <cell r="X55" t="str">
            <v>811005902</v>
          </cell>
          <cell r="Y55" t="str">
            <v>PORTATIL SAS - VERTICAL IT</v>
          </cell>
          <cell r="Z55" t="str">
            <v>No</v>
          </cell>
          <cell r="AA55" t="str">
            <v>Si</v>
          </cell>
          <cell r="AB55" t="str">
            <v>No</v>
          </cell>
          <cell r="AC55" t="str">
            <v>Si</v>
          </cell>
          <cell r="AD55" t="str">
            <v>No</v>
          </cell>
          <cell r="AE55" t="str">
            <v>No</v>
          </cell>
          <cell r="AF55" t="str">
            <v>No</v>
          </cell>
          <cell r="AG55" t="str">
            <v>Distribuido</v>
          </cell>
          <cell r="AH55" t="str">
            <v>Inversión</v>
          </cell>
          <cell r="AI55" t="str">
            <v>$4,055,243.4</v>
          </cell>
          <cell r="AJ55">
            <v>0</v>
          </cell>
          <cell r="AK55" t="str">
            <v>$4,055,243.4</v>
          </cell>
          <cell r="AL55" t="str">
            <v>$0</v>
          </cell>
          <cell r="AM55" t="str">
            <v>$4,055,243.4</v>
          </cell>
          <cell r="AN55">
            <v>0</v>
          </cell>
          <cell r="AO55">
            <v>0</v>
          </cell>
          <cell r="AP55" t="str">
            <v>$0</v>
          </cell>
          <cell r="AQ55" t="str">
            <v>$4,648,649</v>
          </cell>
          <cell r="AR55">
            <v>0</v>
          </cell>
          <cell r="AS55" t="str">
            <v>No</v>
          </cell>
          <cell r="AT55">
            <v>0</v>
          </cell>
          <cell r="AU55" t="str">
            <v>No aplica</v>
          </cell>
          <cell r="AV55" t="str">
            <v>No aplica</v>
          </cell>
          <cell r="AW55" t="str">
            <v>https://community.secop.gov.co/Public/Tendering/OpportunityDetail/Index?noticeUID=CO1.NTC.10016666&amp;isFromPublicArea=True&amp;isModal=true&amp;asPopupView=true</v>
          </cell>
          <cell r="AX55" t="str">
            <v>Ricardo Salek</v>
          </cell>
          <cell r="AY55" t="str">
            <v>CO</v>
          </cell>
          <cell r="AZ55" t="str">
            <v>Calle 6 A No 16-45</v>
          </cell>
          <cell r="BA55" t="str">
            <v>Sin Descripcion</v>
          </cell>
          <cell r="BB55" t="str">
            <v>Sin Descripcion</v>
          </cell>
          <cell r="BC55" t="str">
            <v>Mujer</v>
          </cell>
          <cell r="BD55" t="str">
            <v>$4,055,243</v>
          </cell>
          <cell r="BE55">
            <v>0</v>
          </cell>
          <cell r="BF55">
            <v>0</v>
          </cell>
          <cell r="BG55">
            <v>0</v>
          </cell>
          <cell r="BH55">
            <v>0</v>
          </cell>
          <cell r="BI55">
            <v>0</v>
          </cell>
          <cell r="BK55" t="str">
            <v>700,149,040</v>
          </cell>
          <cell r="BL55">
            <v>703479451</v>
          </cell>
          <cell r="BM55" t="str">
            <v>2027 Mar 03 12:00:00 AM</v>
          </cell>
          <cell r="BN55">
            <v>47667</v>
          </cell>
          <cell r="BO55" t="str">
            <v>Prestación del servicio de renovación de la suscripción por el término de un (1) año de una (1) licencia de la Suite de Adobe Creative Cloud Pro con contrato de licenciamiento VIP para la Comisión de Regulación de Comunicaciones; de conformidad con la Invitación Pública No. 61 de 2026 y la oferta presentada por el contratista que forman parte integral del presente</v>
          </cell>
          <cell r="BP55" t="str">
            <v>1 Año(s)</v>
          </cell>
          <cell r="BQ55" t="str">
            <v>No definido</v>
          </cell>
          <cell r="BR55" t="str">
            <v>No Definido</v>
          </cell>
          <cell r="BS55" t="str">
            <v>No definido</v>
          </cell>
          <cell r="BT55" t="str">
            <v>No</v>
          </cell>
          <cell r="BU55" t="str">
            <v/>
          </cell>
          <cell r="BV55" t="str">
            <v>DIANA WILCHES</v>
          </cell>
          <cell r="BW55" t="str">
            <v>Cédula de Ciudadanía</v>
          </cell>
          <cell r="BX55" t="str">
            <v>40049758</v>
          </cell>
          <cell r="BY55" t="str">
            <v>No definido</v>
          </cell>
          <cell r="BZ55" t="str">
            <v>No definido</v>
          </cell>
          <cell r="CA55" t="str">
            <v>No definido</v>
          </cell>
          <cell r="CB55" t="str">
            <v>No definido</v>
          </cell>
          <cell r="CC55" t="str">
            <v>No definido</v>
          </cell>
          <cell r="CD55" t="str">
            <v>No definido</v>
          </cell>
          <cell r="CE55" t="str">
            <v>No</v>
          </cell>
          <cell r="CF55" t="str">
            <v>No definido</v>
          </cell>
          <cell r="CG55" t="str">
            <v>Calle 59 a Bis # 5 - 53 Piso 9 EDIFICIO LINK SIETE SESENTA
Bogotá
Distrito Capital de Bogotá
COLOMBIA</v>
          </cell>
          <cell r="CH55" t="str">
            <v>No definido</v>
          </cell>
          <cell r="CI55" t="str">
            <v>No definido</v>
          </cell>
          <cell r="CJ55" t="str">
            <v>No definido</v>
          </cell>
          <cell r="CK55" t="str">
            <v>No definido</v>
          </cell>
          <cell r="CL55" t="str">
            <v>No definido</v>
          </cell>
          <cell r="CM55" t="str">
            <v>No</v>
          </cell>
          <cell r="CN55" t="str">
            <v/>
          </cell>
          <cell r="CO55" t="str">
            <v/>
          </cell>
          <cell r="CP55" t="str">
            <v/>
          </cell>
          <cell r="CQ55" t="str">
            <v/>
          </cell>
        </row>
        <row r="56">
          <cell r="A56" t="str">
            <v>COMISIÓN DE REGULACIÓN DE COMUNICACIONES</v>
          </cell>
          <cell r="B56" t="str">
            <v>830,002,593</v>
          </cell>
          <cell r="C56" t="str">
            <v>Distrito Capital de Bogotá</v>
          </cell>
          <cell r="D56" t="str">
            <v>Bogotá</v>
          </cell>
          <cell r="E56" t="str">
            <v>Colombia, Bogotá,  Bogotá</v>
          </cell>
          <cell r="F56" t="str">
            <v>Nacional</v>
          </cell>
          <cell r="G56" t="str">
            <v>Tecnologías de la Información y las Comunicaciones</v>
          </cell>
          <cell r="H56" t="str">
            <v>Ejecutivo</v>
          </cell>
          <cell r="I56" t="str">
            <v>Centralizada</v>
          </cell>
          <cell r="J56" t="str">
            <v>CO1.BDOS.9290729</v>
          </cell>
          <cell r="K56" t="str">
            <v>CO1.PCCNTR.8858164</v>
          </cell>
          <cell r="L56" t="str">
            <v>CONTRATO 16 DE 2026</v>
          </cell>
          <cell r="M56" t="str">
            <v>En ejecución</v>
          </cell>
          <cell r="N56" t="str">
            <v>V1.81112204</v>
          </cell>
          <cell r="O56" t="str">
            <v>RENOVACIÓN DEL CONTRATO DE SERVICIOS; MANTENIMIENTO; SOPORTE Y BOLSA DE HORAS PARA EL SISTEMA DE NÓMINA Y GESTIÓN DEL RECURSO HUMANO - HUMANO DE LA CRC.</v>
          </cell>
          <cell r="P56" t="str">
            <v>Prestación de servicios</v>
          </cell>
          <cell r="Q56" t="str">
            <v>Contratación directa</v>
          </cell>
          <cell r="R56" t="str">
            <v>No existe pluralidad de oferentes en el mercado</v>
          </cell>
          <cell r="S56" t="str">
            <v>01/15/2026</v>
          </cell>
          <cell r="T56" t="str">
            <v>01/16/2026</v>
          </cell>
          <cell r="U56" t="str">
            <v>12/31/2026</v>
          </cell>
          <cell r="V56" t="str">
            <v>NXTWY.DLVY.6</v>
          </cell>
          <cell r="W56" t="str">
            <v>NIT</v>
          </cell>
          <cell r="X56" t="str">
            <v>800187672</v>
          </cell>
          <cell r="Y56" t="str">
            <v>Soporte Lógico SAS</v>
          </cell>
          <cell r="Z56" t="str">
            <v>No</v>
          </cell>
          <cell r="AA56" t="str">
            <v>Si</v>
          </cell>
          <cell r="AB56" t="str">
            <v>No</v>
          </cell>
          <cell r="AC56" t="str">
            <v>No</v>
          </cell>
          <cell r="AD56" t="str">
            <v>No</v>
          </cell>
          <cell r="AE56" t="str">
            <v>No</v>
          </cell>
          <cell r="AF56" t="str">
            <v>No</v>
          </cell>
          <cell r="AG56" t="str">
            <v>Distribuido</v>
          </cell>
          <cell r="AH56" t="str">
            <v>Inversión</v>
          </cell>
          <cell r="AI56" t="str">
            <v>$68,532,299</v>
          </cell>
          <cell r="AJ56">
            <v>0</v>
          </cell>
          <cell r="AK56" t="str">
            <v>$60,589,559.99</v>
          </cell>
          <cell r="AL56" t="str">
            <v>$7,942,739.01</v>
          </cell>
          <cell r="AM56" t="str">
            <v>$60,589,559.99</v>
          </cell>
          <cell r="AN56">
            <v>0</v>
          </cell>
          <cell r="AO56">
            <v>0</v>
          </cell>
          <cell r="AP56" t="str">
            <v>$7,942,739.01</v>
          </cell>
          <cell r="AQ56" t="str">
            <v>$68,532,299</v>
          </cell>
          <cell r="AR56">
            <v>0</v>
          </cell>
          <cell r="AS56" t="str">
            <v>No</v>
          </cell>
          <cell r="AT56">
            <v>0</v>
          </cell>
          <cell r="AU56" t="str">
            <v>No aplica</v>
          </cell>
          <cell r="AV56" t="str">
            <v>No aplica</v>
          </cell>
          <cell r="AW56" t="str">
            <v>https://community.secop.gov.co/Public/Tendering/OpportunityDetail/Index?noticeUID=CO1.NTC.9487918&amp;isFromPublicArea=True&amp;isModal=true&amp;asPopupView=true</v>
          </cell>
          <cell r="AX56" t="str">
            <v>DIEGO ARMANDO SANTACRUZ BENAVIDES</v>
          </cell>
          <cell r="AY56" t="str">
            <v>CO</v>
          </cell>
          <cell r="AZ56" t="str">
            <v>No Definido</v>
          </cell>
          <cell r="BA56" t="str">
            <v>Sin Descripcion</v>
          </cell>
          <cell r="BB56" t="str">
            <v>Sin Descripcion</v>
          </cell>
          <cell r="BC56" t="str">
            <v>Mujer</v>
          </cell>
          <cell r="BD56" t="str">
            <v>$68,532,299</v>
          </cell>
          <cell r="BE56">
            <v>0</v>
          </cell>
          <cell r="BF56">
            <v>0</v>
          </cell>
          <cell r="BG56">
            <v>0</v>
          </cell>
          <cell r="BH56">
            <v>0</v>
          </cell>
          <cell r="BI56">
            <v>0</v>
          </cell>
          <cell r="BK56" t="str">
            <v>700,149,040</v>
          </cell>
          <cell r="BL56">
            <v>702758350</v>
          </cell>
          <cell r="BM56" t="str">
            <v/>
          </cell>
          <cell r="BO56" t="str">
            <v>RENOVACIÓN DEL CONTRATO DE SERVICIOS; MANTENIMIENTO; SOPORTE Y BOLSA DE HORAS PARA EL SISTEMA DE NÓMINA Y GESTIÓN DEL RECURSO HUMANO - HUMANO DE LA CRC.</v>
          </cell>
          <cell r="BP56" t="str">
            <v>345 Dia(s)</v>
          </cell>
          <cell r="BQ56" t="str">
            <v>No definido</v>
          </cell>
          <cell r="BR56" t="str">
            <v>No Definido</v>
          </cell>
          <cell r="BS56" t="str">
            <v>No definido</v>
          </cell>
          <cell r="BT56" t="str">
            <v>No</v>
          </cell>
          <cell r="BU56" t="str">
            <v/>
          </cell>
          <cell r="BV56" t="str">
            <v>Zoila Consuelo Vargas Mesa</v>
          </cell>
          <cell r="BW56" t="str">
            <v>Cédula de Ciudadanía</v>
          </cell>
          <cell r="BX56" t="str">
            <v>46360403</v>
          </cell>
          <cell r="BY56" t="str">
            <v>DIANA WILCHES</v>
          </cell>
          <cell r="BZ56" t="str">
            <v>Cédula de Ciudadanía</v>
          </cell>
          <cell r="CA56" t="str">
            <v>40049758</v>
          </cell>
          <cell r="CB56" t="str">
            <v>No definido</v>
          </cell>
          <cell r="CC56" t="str">
            <v>No definido</v>
          </cell>
          <cell r="CD56" t="str">
            <v>No definido</v>
          </cell>
          <cell r="CE56" t="str">
            <v>No</v>
          </cell>
          <cell r="CF56" t="str">
            <v>No definido</v>
          </cell>
          <cell r="CG56" t="str">
            <v>Calle 59 a Bis # 5 - 53 Piso 9 EDIFICIO LINK SIETE SESENTA
Bogotá
Distrito Capital de Bogotá
COLOMBIA</v>
          </cell>
          <cell r="CH56" t="str">
            <v>No definido</v>
          </cell>
          <cell r="CI56" t="str">
            <v>No definido</v>
          </cell>
          <cell r="CJ56" t="str">
            <v>No definido</v>
          </cell>
          <cell r="CK56" t="str">
            <v>No definido</v>
          </cell>
          <cell r="CL56" t="str">
            <v>No definido</v>
          </cell>
          <cell r="CM56" t="str">
            <v>No</v>
          </cell>
          <cell r="CN56" t="str">
            <v/>
          </cell>
          <cell r="CO56" t="str">
            <v/>
          </cell>
          <cell r="CP56" t="str">
            <v/>
          </cell>
          <cell r="CQ56" t="str">
            <v/>
          </cell>
        </row>
        <row r="57">
          <cell r="A57" t="str">
            <v>COMISIÓN DE REGULACIÓN DE COMUNICACIONES</v>
          </cell>
          <cell r="B57" t="str">
            <v>830,002,593</v>
          </cell>
          <cell r="C57" t="str">
            <v>Distrito Capital de Bogotá</v>
          </cell>
          <cell r="D57" t="str">
            <v>Bogotá</v>
          </cell>
          <cell r="E57" t="str">
            <v>Colombia, Bogotá,  Bogotá</v>
          </cell>
          <cell r="F57" t="str">
            <v>Nacional</v>
          </cell>
          <cell r="G57" t="str">
            <v>Tecnologías de la Información y las Comunicaciones</v>
          </cell>
          <cell r="H57" t="str">
            <v>Ejecutivo</v>
          </cell>
          <cell r="I57" t="str">
            <v>Centralizada</v>
          </cell>
          <cell r="J57" t="str">
            <v>CO1.BDOS.9313146</v>
          </cell>
          <cell r="K57" t="str">
            <v>CO1.PCCNTR.8884652</v>
          </cell>
          <cell r="L57" t="str">
            <v>CONTRATO 38 DE 2026</v>
          </cell>
          <cell r="M57" t="str">
            <v>En ejecución</v>
          </cell>
          <cell r="N57" t="str">
            <v>V1.81111508</v>
          </cell>
          <cell r="O57" t="str">
            <v>Prestar los servicios profesionales especializados para apoyar la implementación y gestión del modelo de seguridad y privacidad de la información de la Comisión de Regulación de Comunicaciones - CRC; mediante la operación y consolidación del Sistema de Gestión de Seguridad y Privacidad de la Informa</v>
          </cell>
          <cell r="P57" t="str">
            <v>Prestación de servicios</v>
          </cell>
          <cell r="Q57" t="str">
            <v>Contratación directa</v>
          </cell>
          <cell r="R57" t="str">
            <v>Servicios profesionales y apoyo a la gestión</v>
          </cell>
          <cell r="S57" t="str">
            <v>01/15/2026</v>
          </cell>
          <cell r="T57" t="str">
            <v>01/16/2026</v>
          </cell>
          <cell r="U57" t="str">
            <v>12/31/2026</v>
          </cell>
          <cell r="V57" t="str">
            <v>NXTWY.DLVY.6</v>
          </cell>
          <cell r="W57" t="str">
            <v>Cédula de Ciudadanía</v>
          </cell>
          <cell r="X57" t="str">
            <v>1023883423</v>
          </cell>
          <cell r="Y57" t="str">
            <v>JUAN NICOLÁS AYALA RODRÍGUEZ</v>
          </cell>
          <cell r="Z57" t="str">
            <v>No</v>
          </cell>
          <cell r="AA57" t="str">
            <v>No</v>
          </cell>
          <cell r="AB57" t="str">
            <v>No</v>
          </cell>
          <cell r="AC57" t="str">
            <v>No</v>
          </cell>
          <cell r="AD57" t="str">
            <v>No</v>
          </cell>
          <cell r="AE57" t="str">
            <v>No</v>
          </cell>
          <cell r="AF57" t="str">
            <v>No</v>
          </cell>
          <cell r="AG57" t="str">
            <v>Distribuido</v>
          </cell>
          <cell r="AH57" t="str">
            <v>Inversión</v>
          </cell>
          <cell r="AI57" t="str">
            <v>$172,500,000</v>
          </cell>
          <cell r="AJ57">
            <v>0</v>
          </cell>
          <cell r="AK57" t="str">
            <v>$97,500,000</v>
          </cell>
          <cell r="AL57" t="str">
            <v>$75,000,000</v>
          </cell>
          <cell r="AM57" t="str">
            <v>$97,500,000</v>
          </cell>
          <cell r="AN57">
            <v>0</v>
          </cell>
          <cell r="AO57">
            <v>0</v>
          </cell>
          <cell r="AP57" t="str">
            <v>$75,000,000</v>
          </cell>
          <cell r="AQ57" t="str">
            <v>$172,500,000</v>
          </cell>
          <cell r="AR57">
            <v>0</v>
          </cell>
          <cell r="AS57" t="str">
            <v>No</v>
          </cell>
          <cell r="AT57">
            <v>0</v>
          </cell>
          <cell r="AU57" t="str">
            <v>No aplica</v>
          </cell>
          <cell r="AV57" t="str">
            <v>No aplica</v>
          </cell>
          <cell r="AW57" t="str">
            <v>https://community.secop.gov.co/Public/Tendering/OpportunityDetail/Index?noticeUID=CO1.NTC.9517426&amp;isFromPublicArea=True&amp;isModal=true&amp;asPopupView=true</v>
          </cell>
          <cell r="AX57" t="str">
            <v>JUAN NICOLÁS AYALA RODRÍGUEZ</v>
          </cell>
          <cell r="AY57" t="str">
            <v>CO</v>
          </cell>
          <cell r="AZ57" t="str">
            <v>No Definido</v>
          </cell>
          <cell r="BA57" t="str">
            <v>Sin Descripcion</v>
          </cell>
          <cell r="BB57" t="str">
            <v>Sin Descripcion</v>
          </cell>
          <cell r="BC57" t="str">
            <v>No Definido</v>
          </cell>
          <cell r="BD57" t="str">
            <v>$172,500,000</v>
          </cell>
          <cell r="BE57">
            <v>0</v>
          </cell>
          <cell r="BF57">
            <v>0</v>
          </cell>
          <cell r="BG57">
            <v>0</v>
          </cell>
          <cell r="BH57">
            <v>0</v>
          </cell>
          <cell r="BI57">
            <v>0</v>
          </cell>
          <cell r="BK57" t="str">
            <v>700,149,040</v>
          </cell>
          <cell r="BL57">
            <v>702451600</v>
          </cell>
          <cell r="BM57" t="str">
            <v/>
          </cell>
          <cell r="BO57" t="str">
            <v>Prestar los servicios profesionales especializados para apoyar la implementación y gestión del modelo de seguridad y privacidad de la información de la Comisión de Regulación de Comunicaciones - CRC; mediante la operación y consolidación del Sistema de Gestión de Seguridad y Privacidad de la Información (SGSPI); así como; ejercer el acompañamiento que se requiera en el proceso de liderazgo para la ejecución y fortalecimiento del Sistema de Gestión de Continuidad del Negocio - SGCN; de acuerdo co</v>
          </cell>
          <cell r="BP57" t="str">
            <v>345 Dia(s)</v>
          </cell>
          <cell r="BQ57" t="str">
            <v>No definido</v>
          </cell>
          <cell r="BR57" t="str">
            <v>No Definido</v>
          </cell>
          <cell r="BS57" t="str">
            <v>No definido</v>
          </cell>
          <cell r="BT57" t="str">
            <v>No</v>
          </cell>
          <cell r="BU57" t="str">
            <v/>
          </cell>
          <cell r="BV57" t="str">
            <v>Zoila Consuelo Vargas Mesa</v>
          </cell>
          <cell r="BW57" t="str">
            <v>Cédula de Ciudadanía</v>
          </cell>
          <cell r="BX57" t="str">
            <v>46360403</v>
          </cell>
          <cell r="BY57" t="str">
            <v>INGRID PICON CARRASCAL</v>
          </cell>
          <cell r="BZ57" t="str">
            <v>Cédula de Ciudadanía</v>
          </cell>
          <cell r="CA57" t="str">
            <v>60372503</v>
          </cell>
          <cell r="CB57" t="str">
            <v>No definido</v>
          </cell>
          <cell r="CC57" t="str">
            <v>No definido</v>
          </cell>
          <cell r="CD57" t="str">
            <v>No definido</v>
          </cell>
          <cell r="CE57" t="str">
            <v>No</v>
          </cell>
          <cell r="CF57" t="str">
            <v>No definido</v>
          </cell>
          <cell r="CG57" t="str">
            <v>Calle 59 a Bis # 5 - 53 Piso 9 EDIFICIO LINK SIETE SESENTA
Bogotá
Distrito Capital de Bogotá
COLOMBIA</v>
          </cell>
          <cell r="CH57" t="str">
            <v>No definido</v>
          </cell>
          <cell r="CI57" t="str">
            <v>No definido</v>
          </cell>
          <cell r="CJ57" t="str">
            <v>No definido</v>
          </cell>
          <cell r="CK57" t="str">
            <v>No definido</v>
          </cell>
          <cell r="CL57" t="str">
            <v>No definido</v>
          </cell>
          <cell r="CM57" t="str">
            <v>No</v>
          </cell>
          <cell r="CN57" t="str">
            <v/>
          </cell>
          <cell r="CO57" t="str">
            <v/>
          </cell>
          <cell r="CP57" t="str">
            <v/>
          </cell>
          <cell r="CQ57" t="str">
            <v/>
          </cell>
        </row>
        <row r="58">
          <cell r="A58" t="str">
            <v>COMISIÓN DE REGULACIÓN DE COMUNICACIONES</v>
          </cell>
          <cell r="B58" t="str">
            <v>830,002,593</v>
          </cell>
          <cell r="C58" t="str">
            <v>Distrito Capital de Bogotá</v>
          </cell>
          <cell r="D58" t="str">
            <v>Bogotá</v>
          </cell>
          <cell r="E58" t="str">
            <v>Colombia, Bogotá,  Bogotá</v>
          </cell>
          <cell r="F58" t="str">
            <v>Nacional</v>
          </cell>
          <cell r="G58" t="str">
            <v>Tecnologías de la Información y las Comunicaciones</v>
          </cell>
          <cell r="H58" t="str">
            <v>Ejecutivo</v>
          </cell>
          <cell r="I58" t="str">
            <v>Centralizada</v>
          </cell>
          <cell r="J58" t="str">
            <v>CO1.BDOS.9604009</v>
          </cell>
          <cell r="K58" t="str">
            <v>CO1.PCCNTR.9002053</v>
          </cell>
          <cell r="L58" t="str">
            <v>CONTRATO 51 DE 2026</v>
          </cell>
          <cell r="M58" t="str">
            <v>En ejecución</v>
          </cell>
          <cell r="N58" t="str">
            <v>V1.81111504</v>
          </cell>
          <cell r="O58"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v>
          </cell>
          <cell r="P58" t="str">
            <v>Prestación de servicios</v>
          </cell>
          <cell r="Q58" t="str">
            <v>Contratación directa</v>
          </cell>
          <cell r="R58" t="str">
            <v>Servicios profesionales y apoyo a la gestión</v>
          </cell>
          <cell r="S58" t="str">
            <v>01/21/2026</v>
          </cell>
          <cell r="T58" t="str">
            <v>02/02/2026</v>
          </cell>
          <cell r="U58" t="str">
            <v>12/31/2026</v>
          </cell>
          <cell r="V58" t="str">
            <v>NXTWY.DLVY.6</v>
          </cell>
          <cell r="W58" t="str">
            <v>Cédula de Ciudadanía</v>
          </cell>
          <cell r="X58" t="str">
            <v>52902964</v>
          </cell>
          <cell r="Y58" t="str">
            <v>VICTORIA CONSUELO CLAVIJO LUENGAS</v>
          </cell>
          <cell r="Z58" t="str">
            <v>No</v>
          </cell>
          <cell r="AA58" t="str">
            <v>No</v>
          </cell>
          <cell r="AB58" t="str">
            <v>No</v>
          </cell>
          <cell r="AC58" t="str">
            <v>No</v>
          </cell>
          <cell r="AD58" t="str">
            <v>No</v>
          </cell>
          <cell r="AE58" t="str">
            <v>No</v>
          </cell>
          <cell r="AF58" t="str">
            <v>No</v>
          </cell>
          <cell r="AG58" t="str">
            <v>Distribuido</v>
          </cell>
          <cell r="AH58" t="str">
            <v>Inversión</v>
          </cell>
          <cell r="AI58" t="str">
            <v>$150,244,670</v>
          </cell>
          <cell r="AJ58">
            <v>0</v>
          </cell>
          <cell r="AK58" t="str">
            <v>$108,813,575</v>
          </cell>
          <cell r="AL58" t="str">
            <v>$41,431,095</v>
          </cell>
          <cell r="AM58" t="str">
            <v>$108,813,575</v>
          </cell>
          <cell r="AN58">
            <v>0</v>
          </cell>
          <cell r="AO58">
            <v>0</v>
          </cell>
          <cell r="AP58" t="str">
            <v>$41,431,095</v>
          </cell>
          <cell r="AQ58" t="str">
            <v>$150,244,670</v>
          </cell>
          <cell r="AR58">
            <v>0</v>
          </cell>
          <cell r="AS58" t="str">
            <v>No</v>
          </cell>
          <cell r="AT58">
            <v>0</v>
          </cell>
          <cell r="AU58" t="str">
            <v>No aplica</v>
          </cell>
          <cell r="AV58" t="str">
            <v>No aplica</v>
          </cell>
          <cell r="AW58" t="str">
            <v>https://community.secop.gov.co/Public/Tendering/OpportunityDetail/Index?noticeUID=CO1.NTC.9635314&amp;isFromPublicArea=True&amp;isModal=true&amp;asPopupView=true</v>
          </cell>
          <cell r="AX58" t="str">
            <v>VICTORIA CONSUELO CLAVIJO LUENGAS</v>
          </cell>
          <cell r="AY58" t="str">
            <v>CO</v>
          </cell>
          <cell r="AZ58" t="str">
            <v>No Definido</v>
          </cell>
          <cell r="BA58" t="str">
            <v>Sin Descripcion</v>
          </cell>
          <cell r="BB58" t="str">
            <v>Sin Descripcion</v>
          </cell>
          <cell r="BC58" t="str">
            <v>No Definido</v>
          </cell>
          <cell r="BD58" t="str">
            <v>$150,244,670</v>
          </cell>
          <cell r="BE58">
            <v>0</v>
          </cell>
          <cell r="BF58">
            <v>0</v>
          </cell>
          <cell r="BG58">
            <v>0</v>
          </cell>
          <cell r="BH58">
            <v>0</v>
          </cell>
          <cell r="BI58">
            <v>0</v>
          </cell>
          <cell r="BK58" t="str">
            <v>700,149,040</v>
          </cell>
          <cell r="BL58">
            <v>701574626</v>
          </cell>
          <cell r="BM58" t="str">
            <v/>
          </cell>
          <cell r="BO58"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2026 relacionados con la automatización y gestión de los Datos relacionados c</v>
          </cell>
          <cell r="BP58" t="str">
            <v>11 Mes(es)</v>
          </cell>
          <cell r="BQ58" t="str">
            <v>No definido</v>
          </cell>
          <cell r="BR58" t="str">
            <v>No Definido</v>
          </cell>
          <cell r="BS58" t="str">
            <v>No definido</v>
          </cell>
          <cell r="BT58" t="str">
            <v>No</v>
          </cell>
          <cell r="BU58" t="str">
            <v/>
          </cell>
          <cell r="BV58" t="str">
            <v>Zoila Consuelo Vargas Mesa</v>
          </cell>
          <cell r="BW58" t="str">
            <v>Cédula de Ciudadanía</v>
          </cell>
          <cell r="BX58" t="str">
            <v>46360403</v>
          </cell>
          <cell r="BY58" t="str">
            <v>INGRID PICON CARRASCAL</v>
          </cell>
          <cell r="BZ58" t="str">
            <v>Cédula de Ciudadanía</v>
          </cell>
          <cell r="CA58" t="str">
            <v>60372503</v>
          </cell>
          <cell r="CB58" t="str">
            <v>No definido</v>
          </cell>
          <cell r="CC58" t="str">
            <v>No definido</v>
          </cell>
          <cell r="CD58" t="str">
            <v>No definido</v>
          </cell>
          <cell r="CE58" t="str">
            <v>No</v>
          </cell>
          <cell r="CF58" t="str">
            <v>No definido</v>
          </cell>
          <cell r="CG58" t="str">
            <v>Calle 59 a Bis # 5 - 53 Piso 9 EDIFICIO LINK SIETE SESENTA
Bogotá
Distrito Capital de Bogotá
COLOMBIA</v>
          </cell>
          <cell r="CH58" t="str">
            <v>No definido</v>
          </cell>
          <cell r="CI58" t="str">
            <v>No definido</v>
          </cell>
          <cell r="CJ58" t="str">
            <v>No definido</v>
          </cell>
          <cell r="CK58" t="str">
            <v>No definido</v>
          </cell>
          <cell r="CL58" t="str">
            <v>No definido</v>
          </cell>
          <cell r="CM58" t="str">
            <v>No</v>
          </cell>
          <cell r="CN58" t="str">
            <v/>
          </cell>
          <cell r="CO58" t="str">
            <v/>
          </cell>
          <cell r="CP58" t="str">
            <v/>
          </cell>
          <cell r="CQ58" t="str">
            <v/>
          </cell>
        </row>
        <row r="59">
          <cell r="A59" t="str">
            <v>COMISIÓN DE REGULACIÓN DE COMUNICACIONES</v>
          </cell>
          <cell r="B59" t="str">
            <v>830,002,593</v>
          </cell>
          <cell r="C59" t="str">
            <v>Distrito Capital de Bogotá</v>
          </cell>
          <cell r="D59" t="str">
            <v>Bogotá</v>
          </cell>
          <cell r="E59" t="str">
            <v>Colombia, Bogotá,  Bogotá</v>
          </cell>
          <cell r="F59" t="str">
            <v>Nacional</v>
          </cell>
          <cell r="G59" t="str">
            <v>Tecnologías de la Información y las Comunicaciones</v>
          </cell>
          <cell r="H59" t="str">
            <v>Ejecutivo</v>
          </cell>
          <cell r="I59" t="str">
            <v>Centralizada</v>
          </cell>
          <cell r="J59" t="str">
            <v>CO1.BDOS.9996086</v>
          </cell>
          <cell r="K59" t="str">
            <v>CO1.PCCNTR.9373731</v>
          </cell>
          <cell r="L59" t="str">
            <v>CONTRATO 62 DE 2026</v>
          </cell>
          <cell r="M59" t="str">
            <v>En ejecución</v>
          </cell>
          <cell r="N59" t="str">
            <v>V1.81112501</v>
          </cell>
          <cell r="O59" t="str">
            <v>Renovación de la suscripción por un (1) año de los servicios del software de editor de archivos PDF Adobe Acrobat PRO For Teams con contrato de licenciamiento VIP para la Comisión de Regulación de Comunicaciones; de conformidad con la Invitación Pública No. 62 de 2026 y la oferta presentada por el c</v>
          </cell>
          <cell r="P59" t="str">
            <v>Prestación de servicios</v>
          </cell>
          <cell r="Q59" t="str">
            <v>Mínima cuantía</v>
          </cell>
          <cell r="R59" t="str">
            <v>Presupuesto inferior al 10% de la menor cuantía</v>
          </cell>
          <cell r="S59" t="str">
            <v>03/04/2026</v>
          </cell>
          <cell r="T59" t="str">
            <v>03/05/2026</v>
          </cell>
          <cell r="U59" t="str">
            <v>03/04/2027</v>
          </cell>
          <cell r="V59" t="str">
            <v>NXTWY.DLVY.6</v>
          </cell>
          <cell r="W59" t="str">
            <v>NIT</v>
          </cell>
          <cell r="X59" t="str">
            <v>811005902</v>
          </cell>
          <cell r="Y59" t="str">
            <v>PORTATIL SAS - VERTICAL IT</v>
          </cell>
          <cell r="Z59" t="str">
            <v>No</v>
          </cell>
          <cell r="AA59" t="str">
            <v>Si</v>
          </cell>
          <cell r="AB59" t="str">
            <v>No</v>
          </cell>
          <cell r="AC59" t="str">
            <v>Si</v>
          </cell>
          <cell r="AD59" t="str">
            <v>No</v>
          </cell>
          <cell r="AE59" t="str">
            <v>No</v>
          </cell>
          <cell r="AF59" t="str">
            <v>No</v>
          </cell>
          <cell r="AG59" t="str">
            <v>Distribuido</v>
          </cell>
          <cell r="AH59" t="str">
            <v>Inversión</v>
          </cell>
          <cell r="AI59" t="str">
            <v>$21,776,085</v>
          </cell>
          <cell r="AJ59">
            <v>0</v>
          </cell>
          <cell r="AK59" t="str">
            <v>$21,776,085</v>
          </cell>
          <cell r="AL59" t="str">
            <v>$0</v>
          </cell>
          <cell r="AM59" t="str">
            <v>$21,776,085</v>
          </cell>
          <cell r="AN59">
            <v>0</v>
          </cell>
          <cell r="AO59">
            <v>0</v>
          </cell>
          <cell r="AP59" t="str">
            <v>$0</v>
          </cell>
          <cell r="AQ59" t="str">
            <v>$26,663,225</v>
          </cell>
          <cell r="AR59">
            <v>0</v>
          </cell>
          <cell r="AS59" t="str">
            <v>No</v>
          </cell>
          <cell r="AT59">
            <v>0</v>
          </cell>
          <cell r="AU59" t="str">
            <v>No aplica</v>
          </cell>
          <cell r="AV59" t="str">
            <v>No aplica</v>
          </cell>
          <cell r="AW59" t="str">
            <v>https://community.secop.gov.co/Public/Tendering/OpportunityDetail/Index?noticeUID=CO1.NTC.10022306&amp;isFromPublicArea=True&amp;isModal=true&amp;asPopupView=true</v>
          </cell>
          <cell r="AX59" t="str">
            <v>Ricardo Salek</v>
          </cell>
          <cell r="AY59" t="str">
            <v>CO</v>
          </cell>
          <cell r="AZ59" t="str">
            <v>Calle 6 A No 16-45</v>
          </cell>
          <cell r="BA59" t="str">
            <v>Sin Descripcion</v>
          </cell>
          <cell r="BB59" t="str">
            <v>Sin Descripcion</v>
          </cell>
          <cell r="BC59" t="str">
            <v>Mujer</v>
          </cell>
          <cell r="BD59" t="str">
            <v>$21,776,085</v>
          </cell>
          <cell r="BE59">
            <v>0</v>
          </cell>
          <cell r="BF59">
            <v>0</v>
          </cell>
          <cell r="BG59">
            <v>0</v>
          </cell>
          <cell r="BH59">
            <v>0</v>
          </cell>
          <cell r="BI59">
            <v>0</v>
          </cell>
          <cell r="BK59" t="str">
            <v>700,149,040</v>
          </cell>
          <cell r="BL59">
            <v>703479451</v>
          </cell>
          <cell r="BM59" t="str">
            <v>2027 Mar 05 12:00:00 AM</v>
          </cell>
          <cell r="BN59">
            <v>47304</v>
          </cell>
          <cell r="BO59" t="str">
            <v>Renovación de la suscripción por un (1) año de los servicios del software de editor de archivos PDF Adobe Acrobat PRO For Teams con contrato de licenciamiento VIP para la Comisión de Regulación de Comunicaciones; de conformidad con la Invitación Pública No. 62 de 2026 y la oferta presentada por el contratista que forman parte integral del presente contrato</v>
          </cell>
          <cell r="BP59" t="str">
            <v>1 Año(s)</v>
          </cell>
          <cell r="BQ59" t="str">
            <v>No definido</v>
          </cell>
          <cell r="BR59" t="str">
            <v>No Definido</v>
          </cell>
          <cell r="BS59" t="str">
            <v>No definido</v>
          </cell>
          <cell r="BT59" t="str">
            <v>No</v>
          </cell>
          <cell r="BU59" t="str">
            <v/>
          </cell>
          <cell r="BV59" t="str">
            <v>DIANA WILCHES</v>
          </cell>
          <cell r="BW59" t="str">
            <v>Cédula de Ciudadanía</v>
          </cell>
          <cell r="BX59" t="str">
            <v>40049758</v>
          </cell>
          <cell r="BY59" t="str">
            <v>No definido</v>
          </cell>
          <cell r="BZ59" t="str">
            <v>No definido</v>
          </cell>
          <cell r="CA59" t="str">
            <v>No definido</v>
          </cell>
          <cell r="CB59" t="str">
            <v>No definido</v>
          </cell>
          <cell r="CC59" t="str">
            <v>No definido</v>
          </cell>
          <cell r="CD59" t="str">
            <v>No definido</v>
          </cell>
          <cell r="CE59" t="str">
            <v>No</v>
          </cell>
          <cell r="CF59" t="str">
            <v>No definido</v>
          </cell>
          <cell r="CG59" t="str">
            <v>Calle 59 a Bis # 5 - 53 Piso 9 EDIFICIO LINK SIETE SESENTA
Bogotá
Distrito Capital de Bogotá
COLOMBIA</v>
          </cell>
          <cell r="CH59" t="str">
            <v>No definido</v>
          </cell>
          <cell r="CI59" t="str">
            <v>No definido</v>
          </cell>
          <cell r="CJ59" t="str">
            <v>No definido</v>
          </cell>
          <cell r="CK59" t="str">
            <v>No definido</v>
          </cell>
          <cell r="CL59" t="str">
            <v>No definido</v>
          </cell>
          <cell r="CM59" t="str">
            <v>No</v>
          </cell>
          <cell r="CN59" t="str">
            <v/>
          </cell>
          <cell r="CO59" t="str">
            <v/>
          </cell>
          <cell r="CP59" t="str">
            <v/>
          </cell>
          <cell r="CQ59" t="str">
            <v/>
          </cell>
        </row>
        <row r="60">
          <cell r="A60" t="str">
            <v>COMISIÓN DE REGULACIÓN DE COMUNICACIONES</v>
          </cell>
          <cell r="B60" t="str">
            <v>830,002,593</v>
          </cell>
          <cell r="C60" t="str">
            <v>Distrito Capital de Bogotá</v>
          </cell>
          <cell r="D60" t="str">
            <v>Bogotá</v>
          </cell>
          <cell r="E60" t="str">
            <v>Colombia, Bogotá,  Bogotá</v>
          </cell>
          <cell r="F60" t="str">
            <v>Nacional</v>
          </cell>
          <cell r="G60" t="str">
            <v>Tecnologías de la Información y las Comunicaciones</v>
          </cell>
          <cell r="H60" t="str">
            <v>Ejecutivo</v>
          </cell>
          <cell r="I60" t="str">
            <v>Centralizada</v>
          </cell>
          <cell r="J60" t="str">
            <v>CO1.BDOS.9274136</v>
          </cell>
          <cell r="K60" t="str">
            <v>CO1.PCCNTR.8857993</v>
          </cell>
          <cell r="L60" t="str">
            <v>CONTRATO 08 DE 2026</v>
          </cell>
          <cell r="M60" t="str">
            <v>En ejecución</v>
          </cell>
          <cell r="N60" t="str">
            <v>V1.80101604</v>
          </cell>
          <cell r="O60" t="str">
            <v>Prestar servicios profesionales especializados a la Comisión de Regulación de Comunicaciones (CRC) para la consolidación; fortalecimiento y gestión integral de la estrategia de cooperación nacional e internacional y de alianzas estratégicas; mediante la identificación; formulación; seguimiento y eva</v>
          </cell>
          <cell r="P60" t="str">
            <v>Prestación de servicios</v>
          </cell>
          <cell r="Q60" t="str">
            <v>Contratación directa</v>
          </cell>
          <cell r="R60" t="str">
            <v>Servicios profesionales y apoyo a la gestión</v>
          </cell>
          <cell r="S60" t="str">
            <v>01/14/2026</v>
          </cell>
          <cell r="T60" t="str">
            <v>01/16/2026</v>
          </cell>
          <cell r="U60" t="str">
            <v>12/31/2026</v>
          </cell>
          <cell r="V60" t="str">
            <v>No Definido</v>
          </cell>
          <cell r="W60" t="str">
            <v>Cédula de Ciudadanía</v>
          </cell>
          <cell r="X60" t="str">
            <v>1032359364</v>
          </cell>
          <cell r="Y60" t="str">
            <v>Julián David Zuluaga Torres</v>
          </cell>
          <cell r="Z60" t="str">
            <v>No</v>
          </cell>
          <cell r="AA60" t="str">
            <v>No</v>
          </cell>
          <cell r="AB60" t="str">
            <v>No</v>
          </cell>
          <cell r="AC60" t="str">
            <v>No</v>
          </cell>
          <cell r="AD60" t="str">
            <v>No</v>
          </cell>
          <cell r="AE60" t="str">
            <v>No</v>
          </cell>
          <cell r="AF60" t="str">
            <v>No</v>
          </cell>
          <cell r="AG60" t="str">
            <v>Distribuido</v>
          </cell>
          <cell r="AH60" t="str">
            <v>Inversión</v>
          </cell>
          <cell r="AI60" t="str">
            <v>$165,830,000</v>
          </cell>
          <cell r="AJ60">
            <v>0</v>
          </cell>
          <cell r="AK60" t="str">
            <v>$122,570,000</v>
          </cell>
          <cell r="AL60" t="str">
            <v>$43,260,000</v>
          </cell>
          <cell r="AM60" t="str">
            <v>$122,570,000</v>
          </cell>
          <cell r="AN60">
            <v>0</v>
          </cell>
          <cell r="AO60">
            <v>0</v>
          </cell>
          <cell r="AP60" t="str">
            <v>$43,260,000</v>
          </cell>
          <cell r="AQ60" t="str">
            <v>$165,830,000</v>
          </cell>
          <cell r="AR60">
            <v>0</v>
          </cell>
          <cell r="AS60" t="str">
            <v>No</v>
          </cell>
          <cell r="AT60">
            <v>0</v>
          </cell>
          <cell r="AU60" t="str">
            <v>No aplica</v>
          </cell>
          <cell r="AV60" t="str">
            <v>No aplica</v>
          </cell>
          <cell r="AW60" t="str">
            <v>https://community.secop.gov.co/Public/Tendering/OpportunityDetail/Index?noticeUID=CO1.NTC.9488384&amp;isFromPublicArea=True&amp;isModal=true&amp;asPopupView=true</v>
          </cell>
          <cell r="AX60" t="str">
            <v>Julián David  Zuluaga  Torres</v>
          </cell>
          <cell r="AY60" t="str">
            <v>CO</v>
          </cell>
          <cell r="AZ60" t="str">
            <v>No Definido</v>
          </cell>
          <cell r="BA60" t="str">
            <v>Sin Descripcion</v>
          </cell>
          <cell r="BB60" t="str">
            <v>Sin Descripcion</v>
          </cell>
          <cell r="BC60" t="str">
            <v>No Definido</v>
          </cell>
          <cell r="BD60" t="str">
            <v>$165,830,000</v>
          </cell>
          <cell r="BE60">
            <v>0</v>
          </cell>
          <cell r="BF60">
            <v>0</v>
          </cell>
          <cell r="BG60">
            <v>0</v>
          </cell>
          <cell r="BH60">
            <v>0</v>
          </cell>
          <cell r="BI60">
            <v>0</v>
          </cell>
          <cell r="BK60" t="str">
            <v>700,149,040</v>
          </cell>
          <cell r="BL60">
            <v>702765611</v>
          </cell>
          <cell r="BM60" t="str">
            <v/>
          </cell>
          <cell r="BO60" t="str">
            <v>Prestar servicios profesionales especializados a la Comisión de Regulación de Comunicaciones (CRC) para la consolidación; fortalecimiento y gestión integral de la estrategia de cooperación nacional e internacional y de alianzas estratégicas; mediante la identificación; formulación; seguimiento y evaluación de iniciativas y proyectos de cooperación técnica; así como el acompañamiento en la gestión de relaciones institucionales y la preparación de información técnica</v>
          </cell>
          <cell r="BP60" t="str">
            <v>345 Dia(s)</v>
          </cell>
          <cell r="BQ60" t="str">
            <v>No definido</v>
          </cell>
          <cell r="BR60" t="str">
            <v>No Definido</v>
          </cell>
          <cell r="BS60" t="str">
            <v>No definido</v>
          </cell>
          <cell r="BT60" t="str">
            <v>No</v>
          </cell>
          <cell r="BU60" t="str">
            <v/>
          </cell>
          <cell r="BV60" t="str">
            <v>Zoila Consuelo Vargas Mesa</v>
          </cell>
          <cell r="BW60" t="str">
            <v>Cédula de Ciudadanía</v>
          </cell>
          <cell r="BX60" t="str">
            <v>46360403</v>
          </cell>
          <cell r="BY60" t="str">
            <v>Mariana Sarmiento Arguello</v>
          </cell>
          <cell r="BZ60" t="str">
            <v>Cédula de Ciudadanía</v>
          </cell>
          <cell r="CA60" t="str">
            <v>52862292</v>
          </cell>
          <cell r="CB60" t="str">
            <v>Zoila Consuelo Vargas Mesa</v>
          </cell>
          <cell r="CC60" t="str">
            <v>Cédula de Ciudadanía</v>
          </cell>
          <cell r="CD60" t="str">
            <v>46360403</v>
          </cell>
          <cell r="CE60" t="str">
            <v>No</v>
          </cell>
          <cell r="CF60" t="str">
            <v>No definido</v>
          </cell>
          <cell r="CG60" t="str">
            <v>Calle 59 a Bis # 5 - 53 Piso 9 EDIFICIO LINK SIETE SESENTA
Bogotá
Distrito Capital de Bogotá
COLOMBIA</v>
          </cell>
          <cell r="CH60" t="str">
            <v>No definido</v>
          </cell>
          <cell r="CI60" t="str">
            <v>No definido</v>
          </cell>
          <cell r="CJ60" t="str">
            <v>No definido</v>
          </cell>
          <cell r="CK60" t="str">
            <v>No definido</v>
          </cell>
          <cell r="CL60" t="str">
            <v>No definido</v>
          </cell>
          <cell r="CM60" t="str">
            <v>No</v>
          </cell>
          <cell r="CN60" t="str">
            <v/>
          </cell>
          <cell r="CO60" t="str">
            <v/>
          </cell>
          <cell r="CP60" t="str">
            <v/>
          </cell>
          <cell r="CQ60" t="str">
            <v/>
          </cell>
        </row>
        <row r="61">
          <cell r="A61" t="str">
            <v>COMISIÓN DE REGULACIÓN DE COMUNICACIONES</v>
          </cell>
          <cell r="B61" t="str">
            <v>830,002,593</v>
          </cell>
          <cell r="C61" t="str">
            <v>Distrito Capital de Bogotá</v>
          </cell>
          <cell r="D61" t="str">
            <v>Bogotá</v>
          </cell>
          <cell r="E61" t="str">
            <v>Colombia, Bogotá,  Bogotá</v>
          </cell>
          <cell r="F61" t="str">
            <v>Nacional</v>
          </cell>
          <cell r="G61" t="str">
            <v>Tecnologías de la Información y las Comunicaciones</v>
          </cell>
          <cell r="H61" t="str">
            <v>Ejecutivo</v>
          </cell>
          <cell r="I61" t="str">
            <v>Centralizada</v>
          </cell>
          <cell r="J61" t="str">
            <v>CO1.BDOS.10576618</v>
          </cell>
          <cell r="K61" t="str">
            <v>CO1.PCCNTR.9765542</v>
          </cell>
          <cell r="L61" t="str">
            <v>CONTRATO 84 DE 2026</v>
          </cell>
          <cell r="M61" t="str">
            <v>En ejecución</v>
          </cell>
          <cell r="N61" t="str">
            <v>V1.81112103</v>
          </cell>
          <cell r="O61" t="str">
            <v>Prestar servicios profesionales especializados de apoyo técnico a la CRC en los componentes de diseño de experiencia de usuario (UX/UI); arquitectura de información; accesibilidad; usabilidad y desarrollo Front-end que se requieran para el fortalecimiento del ecosistema digital Aula CRC; incluyendo</v>
          </cell>
          <cell r="P61" t="str">
            <v>Prestación de servicios</v>
          </cell>
          <cell r="Q61" t="str">
            <v>Contratación directa</v>
          </cell>
          <cell r="R61" t="str">
            <v>Servicios profesionales y apoyo a la gestión</v>
          </cell>
          <cell r="S61" t="str">
            <v>08/05/2026</v>
          </cell>
          <cell r="T61" t="str">
            <v>08/11/2026</v>
          </cell>
          <cell r="U61" t="str">
            <v>12/26/2026</v>
          </cell>
          <cell r="V61" t="str">
            <v>NXTWY.DLVY.6</v>
          </cell>
          <cell r="W61" t="str">
            <v>Cédula de Ciudadanía</v>
          </cell>
          <cell r="X61" t="str">
            <v>53123158</v>
          </cell>
          <cell r="Y61" t="str">
            <v>Diana Sofia Cifuentes</v>
          </cell>
          <cell r="Z61" t="str">
            <v>No</v>
          </cell>
          <cell r="AA61" t="str">
            <v>No</v>
          </cell>
          <cell r="AB61" t="str">
            <v>No</v>
          </cell>
          <cell r="AC61" t="str">
            <v>No</v>
          </cell>
          <cell r="AD61" t="str">
            <v>No</v>
          </cell>
          <cell r="AE61" t="str">
            <v>No</v>
          </cell>
          <cell r="AF61" t="str">
            <v>No</v>
          </cell>
          <cell r="AG61" t="str">
            <v>Distribuido</v>
          </cell>
          <cell r="AH61" t="str">
            <v>Inversión</v>
          </cell>
          <cell r="AI61" t="str">
            <v>$59,400,000</v>
          </cell>
          <cell r="AJ61">
            <v>0</v>
          </cell>
          <cell r="AK61" t="str">
            <v>$13,200,000</v>
          </cell>
          <cell r="AL61" t="str">
            <v>$46,200,000</v>
          </cell>
          <cell r="AM61" t="str">
            <v>$13,200,000</v>
          </cell>
          <cell r="AN61">
            <v>0</v>
          </cell>
          <cell r="AO61">
            <v>0</v>
          </cell>
          <cell r="AP61" t="str">
            <v>$46,200,000</v>
          </cell>
          <cell r="AQ61" t="str">
            <v>$59,400,000</v>
          </cell>
          <cell r="AR61">
            <v>0</v>
          </cell>
          <cell r="AS61" t="str">
            <v>No</v>
          </cell>
          <cell r="AT61">
            <v>0</v>
          </cell>
          <cell r="AU61" t="str">
            <v>No aplica</v>
          </cell>
          <cell r="AV61" t="str">
            <v>No aplica</v>
          </cell>
          <cell r="AW61" t="str">
            <v>https://community.secop.gov.co/Public/Tendering/OpportunityDetail/Index?noticeUID=CO1.NTC.10647915&amp;isFromPublicArea=True&amp;isModal=true&amp;asPopupView=true</v>
          </cell>
          <cell r="AX61" t="str">
            <v>Diana Sofia Cifuentes López</v>
          </cell>
          <cell r="AY61" t="str">
            <v>CO</v>
          </cell>
          <cell r="AZ61" t="str">
            <v>No Definido</v>
          </cell>
          <cell r="BA61" t="str">
            <v>Cédula de Ciudadanía</v>
          </cell>
          <cell r="BB61" t="str">
            <v>53123158</v>
          </cell>
          <cell r="BC61" t="str">
            <v>No Definido</v>
          </cell>
          <cell r="BD61" t="str">
            <v>$59,400,000</v>
          </cell>
          <cell r="BE61">
            <v>0</v>
          </cell>
          <cell r="BF61">
            <v>0</v>
          </cell>
          <cell r="BG61">
            <v>0</v>
          </cell>
          <cell r="BH61">
            <v>0</v>
          </cell>
          <cell r="BI61">
            <v>0</v>
          </cell>
          <cell r="BK61" t="str">
            <v>700,149,040</v>
          </cell>
          <cell r="BL61">
            <v>702594714</v>
          </cell>
          <cell r="BM61" t="str">
            <v/>
          </cell>
          <cell r="BO61" t="str">
            <v>Prestar servicios profesionales especializados de apoyo técnico a la CRC en los componentes de diseño de experiencia de usuario (UX/UI); arquitectura de información; accesibilidad; usabilidad y desarrollo Front-end que se requieran para el fortalecimiento del ecosistema digital Aula CRC; incluyendo la estructuración; implementación y despliegue del Centro Interactivo de Recursos Pedagógicos; así como para la mejora del entorno LMS Moodle; de acuerdo con los lineamientos; requerimientos (...)</v>
          </cell>
          <cell r="BP61" t="str">
            <v>135 Dia(s)</v>
          </cell>
          <cell r="BQ61" t="str">
            <v>No definido</v>
          </cell>
          <cell r="BR61" t="str">
            <v>No Definido</v>
          </cell>
          <cell r="BS61" t="str">
            <v>No definido</v>
          </cell>
          <cell r="BT61" t="str">
            <v>No</v>
          </cell>
          <cell r="BU61" t="str">
            <v/>
          </cell>
          <cell r="BV61" t="str">
            <v>No definido</v>
          </cell>
          <cell r="BW61" t="str">
            <v>No definido</v>
          </cell>
          <cell r="BX61" t="str">
            <v>No definido</v>
          </cell>
          <cell r="BY61" t="str">
            <v>No definido</v>
          </cell>
          <cell r="BZ61" t="str">
            <v>No definido</v>
          </cell>
          <cell r="CA61" t="str">
            <v>No definido</v>
          </cell>
          <cell r="CB61" t="str">
            <v>No definido</v>
          </cell>
          <cell r="CC61" t="str">
            <v>No definido</v>
          </cell>
          <cell r="CD61" t="str">
            <v>No definido</v>
          </cell>
          <cell r="CE61" t="str">
            <v>No</v>
          </cell>
          <cell r="CF61" t="str">
            <v>No definido</v>
          </cell>
          <cell r="CG61" t="str">
            <v>Calle 59 a Bis # 5 - 53 Piso 9 EDIFICIO LINK SIETE SESENTA
Bogotá
Distrito Capital de Bogotá
COLOMBIA</v>
          </cell>
          <cell r="CH61" t="str">
            <v>No definido</v>
          </cell>
          <cell r="CI61" t="str">
            <v>No definido</v>
          </cell>
          <cell r="CJ61" t="str">
            <v>No definido</v>
          </cell>
          <cell r="CK61" t="str">
            <v>No definido</v>
          </cell>
          <cell r="CL61" t="str">
            <v>No definido</v>
          </cell>
          <cell r="CM61" t="str">
            <v>No</v>
          </cell>
          <cell r="CN61" t="str">
            <v/>
          </cell>
          <cell r="CO61" t="str">
            <v/>
          </cell>
          <cell r="CP61" t="str">
            <v/>
          </cell>
          <cell r="CQ61" t="str">
            <v/>
          </cell>
        </row>
        <row r="62">
          <cell r="A62" t="str">
            <v>COMISIÓN DE REGULACIÓN DE COMUNICACIONES</v>
          </cell>
          <cell r="B62" t="str">
            <v>830,002,593</v>
          </cell>
          <cell r="C62" t="str">
            <v>Distrito Capital de Bogotá</v>
          </cell>
          <cell r="D62" t="str">
            <v>Bogotá</v>
          </cell>
          <cell r="E62" t="str">
            <v>Colombia, Bogotá,  Bogotá</v>
          </cell>
          <cell r="F62" t="str">
            <v>Nacional</v>
          </cell>
          <cell r="G62" t="str">
            <v>Tecnologías de la Información y las Comunicaciones</v>
          </cell>
          <cell r="H62" t="str">
            <v>Ejecutivo</v>
          </cell>
          <cell r="I62" t="str">
            <v>Centralizada</v>
          </cell>
          <cell r="J62" t="str">
            <v>CO1.BDOS.9300030</v>
          </cell>
          <cell r="K62" t="str">
            <v>CO1.PCCNTR.8856376</v>
          </cell>
          <cell r="L62" t="str">
            <v>CONTRATO 34 DE 2026</v>
          </cell>
          <cell r="M62" t="str">
            <v>En ejecución</v>
          </cell>
          <cell r="N62" t="str">
            <v>V1.80161500</v>
          </cell>
          <cell r="O62" t="str">
            <v>EL CONTRATISTA se obliga con LA COMISIÓN a la «Actualización permanente de la Resolución CRC 5050 de 2016 en relación con los conceptos; línea decisional; doctrina concordante; circulares y notas de vigencia; así como la compilación y actualización de las normas complementarias que son transversales</v>
          </cell>
          <cell r="P62" t="str">
            <v>Prestación de servicios</v>
          </cell>
          <cell r="Q62" t="str">
            <v>Contratación directa</v>
          </cell>
          <cell r="R62" t="str">
            <v>No existe pluralidad de oferentes en el mercado</v>
          </cell>
          <cell r="S62" t="str">
            <v>01/15/2026</v>
          </cell>
          <cell r="T62" t="str">
            <v>01/16/2026</v>
          </cell>
          <cell r="U62" t="str">
            <v>12/31/2026</v>
          </cell>
          <cell r="V62" t="str">
            <v>NXTWY.DLVY.6</v>
          </cell>
          <cell r="W62" t="str">
            <v>NIT</v>
          </cell>
          <cell r="X62" t="str">
            <v>830041326</v>
          </cell>
          <cell r="Y62" t="str">
            <v>AVANCE JURIDICO CASA EDITORIAL S.A.S</v>
          </cell>
          <cell r="Z62" t="str">
            <v>No</v>
          </cell>
          <cell r="AA62" t="str">
            <v>Si</v>
          </cell>
          <cell r="AB62" t="str">
            <v>No</v>
          </cell>
          <cell r="AC62" t="str">
            <v>Si</v>
          </cell>
          <cell r="AD62" t="str">
            <v>No</v>
          </cell>
          <cell r="AE62" t="str">
            <v>No</v>
          </cell>
          <cell r="AF62" t="str">
            <v>No</v>
          </cell>
          <cell r="AG62" t="str">
            <v>Distribuido</v>
          </cell>
          <cell r="AH62" t="str">
            <v>Inversión</v>
          </cell>
          <cell r="AI62" t="str">
            <v>$157,206,840</v>
          </cell>
          <cell r="AJ62">
            <v>0</v>
          </cell>
          <cell r="AK62" t="str">
            <v>$102,526,200</v>
          </cell>
          <cell r="AL62" t="str">
            <v>$54,680,640</v>
          </cell>
          <cell r="AM62" t="str">
            <v>$102,526,200</v>
          </cell>
          <cell r="AN62">
            <v>0</v>
          </cell>
          <cell r="AO62">
            <v>0</v>
          </cell>
          <cell r="AP62" t="str">
            <v>$54,680,640</v>
          </cell>
          <cell r="AQ62" t="str">
            <v>$157,206,840</v>
          </cell>
          <cell r="AR62">
            <v>0</v>
          </cell>
          <cell r="AS62" t="str">
            <v>No</v>
          </cell>
          <cell r="AT62">
            <v>0</v>
          </cell>
          <cell r="AU62" t="str">
            <v>No aplica</v>
          </cell>
          <cell r="AV62" t="str">
            <v>No aplica</v>
          </cell>
          <cell r="AW62" t="str">
            <v>https://community.secop.gov.co/Public/Tendering/OpportunityDetail/Index?noticeUID=CO1.NTC.9486150&amp;isFromPublicArea=True&amp;isModal=true&amp;asPopupView=true</v>
          </cell>
          <cell r="AX62" t="str">
            <v>AVANCE JURÍDICO CASA EDITORIAL SAS</v>
          </cell>
          <cell r="AY62" t="str">
            <v>CO</v>
          </cell>
          <cell r="AZ62" t="str">
            <v>Carrera 6 No. 26B-85 Piso 9</v>
          </cell>
          <cell r="BA62" t="str">
            <v>Sin Descripcion</v>
          </cell>
          <cell r="BB62" t="str">
            <v>Sin Descripcion</v>
          </cell>
          <cell r="BC62" t="str">
            <v>Hombre</v>
          </cell>
          <cell r="BD62" t="str">
            <v>$157,206,840</v>
          </cell>
          <cell r="BE62">
            <v>0</v>
          </cell>
          <cell r="BF62">
            <v>0</v>
          </cell>
          <cell r="BG62">
            <v>0</v>
          </cell>
          <cell r="BH62">
            <v>0</v>
          </cell>
          <cell r="BI62">
            <v>0</v>
          </cell>
          <cell r="BK62" t="str">
            <v>700,149,040</v>
          </cell>
          <cell r="BL62">
            <v>700718018</v>
          </cell>
          <cell r="BM62" t="str">
            <v>2027 Jan 02 12:00:00 AM</v>
          </cell>
          <cell r="BN62">
            <v>47787</v>
          </cell>
          <cell r="BO62" t="str">
            <v>EL CONTRATISTA se obliga con LA COMISIÓN a la «Actualización permanente de la Resolución CRC 5050 de 2016 en relación con los conceptos; línea decisional; doctrina concordante; circulares y notas de vigencia; así como la compilación y actualización de las normas complementarias que son transversales a todas las entidades públicas; integrado en el Normograma de la CRC». El presente objeto contractual deberá ser ejecutado de manera autónoma; independiente; sin subordinación o dependencia; utilizan</v>
          </cell>
          <cell r="BP62" t="str">
            <v>345 Dia(s)</v>
          </cell>
          <cell r="BQ62" t="str">
            <v>No definido</v>
          </cell>
          <cell r="BR62" t="str">
            <v>No Definido</v>
          </cell>
          <cell r="BS62" t="str">
            <v>No definido</v>
          </cell>
          <cell r="BT62" t="str">
            <v>No</v>
          </cell>
          <cell r="BU62" t="str">
            <v/>
          </cell>
          <cell r="BV62" t="str">
            <v>Zoila Consuelo Vargas Mesa</v>
          </cell>
          <cell r="BW62" t="str">
            <v>Cédula de Ciudadanía</v>
          </cell>
          <cell r="BX62" t="str">
            <v>46360403</v>
          </cell>
          <cell r="BY62" t="str">
            <v>Luz Mireya Garzón Sánchez</v>
          </cell>
          <cell r="BZ62" t="str">
            <v>Cédula de Ciudadanía</v>
          </cell>
          <cell r="CA62" t="str">
            <v>52328311</v>
          </cell>
          <cell r="CB62" t="str">
            <v>No definido</v>
          </cell>
          <cell r="CC62" t="str">
            <v>No definido</v>
          </cell>
          <cell r="CD62" t="str">
            <v>No definido</v>
          </cell>
          <cell r="CE62" t="str">
            <v>No</v>
          </cell>
          <cell r="CF62" t="str">
            <v>No definido</v>
          </cell>
          <cell r="CG62" t="str">
            <v>Calle 59 a Bis # 5 - 53 Piso 9 EDIFICIO LINK SIETE SESENTA
Bogotá
Distrito Capital de Bogotá
COLOMBIA</v>
          </cell>
          <cell r="CH62" t="str">
            <v>No definido</v>
          </cell>
          <cell r="CI62" t="str">
            <v>No definido</v>
          </cell>
          <cell r="CJ62" t="str">
            <v>No definido</v>
          </cell>
          <cell r="CK62" t="str">
            <v>No definido</v>
          </cell>
          <cell r="CL62" t="str">
            <v>No definido</v>
          </cell>
          <cell r="CM62" t="str">
            <v>No</v>
          </cell>
          <cell r="CN62" t="str">
            <v/>
          </cell>
          <cell r="CO62" t="str">
            <v/>
          </cell>
          <cell r="CP62" t="str">
            <v/>
          </cell>
          <cell r="CQ62" t="str">
            <v/>
          </cell>
        </row>
        <row r="63">
          <cell r="A63" t="str">
            <v>COMISIÓN DE REGULACIÓN DE COMUNICACIONES</v>
          </cell>
          <cell r="B63" t="str">
            <v>830,002,593</v>
          </cell>
          <cell r="C63" t="str">
            <v>Distrito Capital de Bogotá</v>
          </cell>
          <cell r="D63" t="str">
            <v>Bogotá</v>
          </cell>
          <cell r="E63" t="str">
            <v>Colombia, Bogotá,  Bogotá</v>
          </cell>
          <cell r="F63" t="str">
            <v>Nacional</v>
          </cell>
          <cell r="G63" t="str">
            <v>Tecnologías de la Información y las Comunicaciones</v>
          </cell>
          <cell r="H63" t="str">
            <v>Ejecutivo</v>
          </cell>
          <cell r="I63" t="str">
            <v>Centralizada</v>
          </cell>
          <cell r="J63" t="str">
            <v>CO1.BDOS.10489505</v>
          </cell>
          <cell r="K63" t="str">
            <v>CO1.PCCNTR.9865830</v>
          </cell>
          <cell r="L63" t="str">
            <v>CONTRATO 94 DE 2026</v>
          </cell>
          <cell r="M63" t="str">
            <v>En ejecución</v>
          </cell>
          <cell r="N63" t="str">
            <v>V1.81111806</v>
          </cell>
          <cell r="O63" t="str">
            <v>Prestar los servicios de consultoría especializada en investigación social y de mercados para realizar el estudio de caracterización de los grupos de valor de la Comisión de Regulación de Comunicaciones (CRC); mediante la aplicación de metodologías cualitativas y cuantitativas; con el fin de actuali</v>
          </cell>
          <cell r="P63" t="str">
            <v>Consultoría</v>
          </cell>
          <cell r="Q63" t="str">
            <v>Concurso de méritos abierto</v>
          </cell>
          <cell r="R63" t="str">
            <v>Ley 1150 de 2007</v>
          </cell>
          <cell r="S63" t="str">
            <v>09/14/2026</v>
          </cell>
          <cell r="T63" t="str">
            <v>09/15/2026</v>
          </cell>
          <cell r="U63" t="str">
            <v>12/31/2026</v>
          </cell>
          <cell r="V63" t="str">
            <v>NXTWY.DLVY.6</v>
          </cell>
          <cell r="W63" t="str">
            <v>NIT</v>
          </cell>
          <cell r="X63" t="str">
            <v>No Definido</v>
          </cell>
          <cell r="Y63" t="str">
            <v>DEPIN 001-2026</v>
          </cell>
          <cell r="Z63" t="str">
            <v>Si</v>
          </cell>
          <cell r="AA63" t="str">
            <v>Si</v>
          </cell>
          <cell r="AB63" t="str">
            <v>No</v>
          </cell>
          <cell r="AC63" t="str">
            <v>Si</v>
          </cell>
          <cell r="AD63" t="str">
            <v>No</v>
          </cell>
          <cell r="AE63" t="str">
            <v>No</v>
          </cell>
          <cell r="AF63" t="str">
            <v>No</v>
          </cell>
          <cell r="AG63" t="str">
            <v>Distribuido</v>
          </cell>
          <cell r="AH63" t="str">
            <v>Inversión</v>
          </cell>
          <cell r="AI63" t="str">
            <v>$79,492,000</v>
          </cell>
          <cell r="AJ63">
            <v>0</v>
          </cell>
          <cell r="AK63" t="str">
            <v>$0</v>
          </cell>
          <cell r="AL63" t="str">
            <v>$79,492,000</v>
          </cell>
          <cell r="AM63" t="str">
            <v>$0</v>
          </cell>
          <cell r="AN63">
            <v>0</v>
          </cell>
          <cell r="AO63">
            <v>0</v>
          </cell>
          <cell r="AP63" t="str">
            <v>$79,492,000</v>
          </cell>
          <cell r="AQ63" t="str">
            <v>$79,492,000</v>
          </cell>
          <cell r="AR63">
            <v>0</v>
          </cell>
          <cell r="AS63" t="str">
            <v>No</v>
          </cell>
          <cell r="AT63">
            <v>0</v>
          </cell>
          <cell r="AU63" t="str">
            <v>No aplica</v>
          </cell>
          <cell r="AV63" t="str">
            <v>No aplica</v>
          </cell>
          <cell r="AW63" t="str">
            <v>https://community.secop.gov.co/Public/Tendering/OpportunityDetail/Index?noticeUID=CO1.NTC.10602807&amp;isFromPublicArea=True&amp;isModal=true&amp;asPopupView=true</v>
          </cell>
          <cell r="AX63" t="str">
            <v>HELEANA PATRICIA SASTRE JIMENEZ</v>
          </cell>
          <cell r="AY63" t="str">
            <v>CO</v>
          </cell>
          <cell r="AZ63" t="str">
            <v>No Definido</v>
          </cell>
          <cell r="BA63" t="str">
            <v>Sin Descripcion</v>
          </cell>
          <cell r="BB63" t="str">
            <v>Sin Descripcion</v>
          </cell>
          <cell r="BC63" t="str">
            <v>Mujer</v>
          </cell>
          <cell r="BD63" t="str">
            <v>$79,492,000</v>
          </cell>
          <cell r="BE63">
            <v>0</v>
          </cell>
          <cell r="BF63">
            <v>0</v>
          </cell>
          <cell r="BG63">
            <v>0</v>
          </cell>
          <cell r="BH63">
            <v>0</v>
          </cell>
          <cell r="BI63">
            <v>0</v>
          </cell>
          <cell r="BK63" t="str">
            <v>700,149,040</v>
          </cell>
          <cell r="BL63">
            <v>722832896</v>
          </cell>
          <cell r="BM63" t="str">
            <v>2026 Dec 31 12:00:00 AM</v>
          </cell>
          <cell r="BN63">
            <v>47603</v>
          </cell>
          <cell r="BO63" t="str">
            <v>Prestar los servicios de consultoría especializada en investigación social y de mercados para realizar el estudio de caracterización de los grupos de valor de la Comisión de Regulación de Comunicaciones (CRC); mediante la aplicación de metodologías cualitativas y cuantitativas; con el fin de actualizar su identificación; analizar sus dinámicas de relacionamiento con la Entidad e identificar sus necesidades y expectativas</v>
          </cell>
          <cell r="BP63" t="str">
            <v>120 Dia(s)</v>
          </cell>
          <cell r="BQ63" t="str">
            <v>No definido</v>
          </cell>
          <cell r="BR63" t="str">
            <v>No Definido</v>
          </cell>
          <cell r="BS63" t="str">
            <v>No definido</v>
          </cell>
          <cell r="BT63" t="str">
            <v>No</v>
          </cell>
          <cell r="BU63" t="str">
            <v/>
          </cell>
          <cell r="BV63" t="str">
            <v>No definido</v>
          </cell>
          <cell r="BW63" t="str">
            <v>No definido</v>
          </cell>
          <cell r="BX63" t="str">
            <v>No definido</v>
          </cell>
          <cell r="BY63" t="str">
            <v>No definido</v>
          </cell>
          <cell r="BZ63" t="str">
            <v>No definido</v>
          </cell>
          <cell r="CA63" t="str">
            <v>No definido</v>
          </cell>
          <cell r="CB63" t="str">
            <v>No definido</v>
          </cell>
          <cell r="CC63" t="str">
            <v>No definido</v>
          </cell>
          <cell r="CD63" t="str">
            <v>No definido</v>
          </cell>
          <cell r="CE63" t="str">
            <v>No</v>
          </cell>
          <cell r="CF63" t="str">
            <v>No definido</v>
          </cell>
          <cell r="CG63" t="str">
            <v>Calle 59 a Bis # 5 - 53 Piso 9 EDIFICIO LINK SIETE SESENTA
Bogotá
Distrito Capital de Bogotá
COLOMBIA</v>
          </cell>
          <cell r="CH63" t="str">
            <v>No definido</v>
          </cell>
          <cell r="CI63" t="str">
            <v>No definido</v>
          </cell>
          <cell r="CJ63" t="str">
            <v>No definido</v>
          </cell>
          <cell r="CK63" t="str">
            <v>No definido</v>
          </cell>
          <cell r="CL63" t="str">
            <v>No definido</v>
          </cell>
          <cell r="CM63" t="str">
            <v>No</v>
          </cell>
          <cell r="CN63" t="str">
            <v/>
          </cell>
          <cell r="CO63" t="str">
            <v/>
          </cell>
          <cell r="CP63" t="str">
            <v/>
          </cell>
          <cell r="CQ63" t="str">
            <v/>
          </cell>
        </row>
        <row r="64">
          <cell r="A64" t="str">
            <v>COMISIÓN DE REGULACIÓN DE COMUNICACIONES</v>
          </cell>
          <cell r="B64" t="str">
            <v>830,002,593</v>
          </cell>
          <cell r="C64" t="str">
            <v>Distrito Capital de Bogotá</v>
          </cell>
          <cell r="D64" t="str">
            <v>Bogotá</v>
          </cell>
          <cell r="E64" t="str">
            <v>Colombia, Bogotá,  Bogotá</v>
          </cell>
          <cell r="F64" t="str">
            <v>Nacional</v>
          </cell>
          <cell r="G64" t="str">
            <v>Tecnologías de la Información y las Comunicaciones</v>
          </cell>
          <cell r="H64" t="str">
            <v>Ejecutivo</v>
          </cell>
          <cell r="I64" t="str">
            <v>Centralizada</v>
          </cell>
          <cell r="J64" t="str">
            <v>CO1.BDOS.9328582</v>
          </cell>
          <cell r="K64" t="str">
            <v>CO1.PCCNTR.8923537</v>
          </cell>
          <cell r="L64" t="str">
            <v>CONTRATO 35 DE 2026</v>
          </cell>
          <cell r="M64" t="str">
            <v>En ejecución</v>
          </cell>
          <cell r="N64" t="str">
            <v>V1.81121500</v>
          </cell>
          <cell r="O64" t="str">
            <v>Prestación de servicios profesionales altamente especializados en materia de economía y análisis cuantitativo; orientados a brindar soporte especializado en la formulación y ejecución de proyectos regulatorios; así como en otras actividades desarrolladas por la Comisión de Regulación de Comunicacion</v>
          </cell>
          <cell r="P64" t="str">
            <v>Prestación de servicios</v>
          </cell>
          <cell r="Q64" t="str">
            <v>Contratación directa</v>
          </cell>
          <cell r="R64" t="str">
            <v>Servicios profesionales y apoyo a la gestión</v>
          </cell>
          <cell r="S64" t="str">
            <v>01/20/2026</v>
          </cell>
          <cell r="T64" t="str">
            <v>01/22/2026</v>
          </cell>
          <cell r="U64" t="str">
            <v>12/31/2026</v>
          </cell>
          <cell r="V64" t="str">
            <v>NXTWY.DLVY.6</v>
          </cell>
          <cell r="W64" t="str">
            <v>Cédula de Ciudadanía</v>
          </cell>
          <cell r="X64" t="str">
            <v>16763217</v>
          </cell>
          <cell r="Y64" t="str">
            <v>ALVARO JOSE RIASCOS VILLEGAS</v>
          </cell>
          <cell r="Z64" t="str">
            <v>No</v>
          </cell>
          <cell r="AA64" t="str">
            <v>No</v>
          </cell>
          <cell r="AB64" t="str">
            <v>No</v>
          </cell>
          <cell r="AC64" t="str">
            <v>No</v>
          </cell>
          <cell r="AD64" t="str">
            <v>No</v>
          </cell>
          <cell r="AE64" t="str">
            <v>No</v>
          </cell>
          <cell r="AF64" t="str">
            <v>No</v>
          </cell>
          <cell r="AG64" t="str">
            <v>Distribuido</v>
          </cell>
          <cell r="AH64" t="str">
            <v>Inversión</v>
          </cell>
          <cell r="AI64" t="str">
            <v>$243,362,400</v>
          </cell>
          <cell r="AJ64">
            <v>0</v>
          </cell>
          <cell r="AK64" t="str">
            <v>$193,067,504</v>
          </cell>
          <cell r="AL64" t="str">
            <v>$50,294,896</v>
          </cell>
          <cell r="AM64" t="str">
            <v>$193,067,504</v>
          </cell>
          <cell r="AN64">
            <v>0</v>
          </cell>
          <cell r="AO64">
            <v>0</v>
          </cell>
          <cell r="AP64" t="str">
            <v>$50,294,896</v>
          </cell>
          <cell r="AQ64" t="str">
            <v>$243,362,400</v>
          </cell>
          <cell r="AR64">
            <v>0</v>
          </cell>
          <cell r="AS64" t="str">
            <v>No</v>
          </cell>
          <cell r="AT64">
            <v>0</v>
          </cell>
          <cell r="AU64" t="str">
            <v>No aplica</v>
          </cell>
          <cell r="AV64" t="str">
            <v>No aplica</v>
          </cell>
          <cell r="AW64" t="str">
            <v>https://community.secop.gov.co/Public/Tendering/OpportunityDetail/Index?noticeUID=CO1.NTC.9556924&amp;isFromPublicArea=True&amp;isModal=true&amp;asPopupView=true</v>
          </cell>
          <cell r="AX64" t="str">
            <v>ALVARO JOSE RIASCOS VILLEGAS</v>
          </cell>
          <cell r="AY64" t="str">
            <v>CO</v>
          </cell>
          <cell r="AZ64" t="str">
            <v>No Definido</v>
          </cell>
          <cell r="BA64" t="str">
            <v>Sin Descripcion</v>
          </cell>
          <cell r="BB64" t="str">
            <v>Sin Descripcion</v>
          </cell>
          <cell r="BC64" t="str">
            <v>Hombre</v>
          </cell>
          <cell r="BD64" t="str">
            <v>$243,362,400</v>
          </cell>
          <cell r="BE64">
            <v>0</v>
          </cell>
          <cell r="BF64">
            <v>0</v>
          </cell>
          <cell r="BG64">
            <v>0</v>
          </cell>
          <cell r="BH64">
            <v>0</v>
          </cell>
          <cell r="BI64">
            <v>0</v>
          </cell>
          <cell r="BK64" t="str">
            <v>700,149,040</v>
          </cell>
          <cell r="BL64">
            <v>705001568</v>
          </cell>
          <cell r="BM64" t="str">
            <v/>
          </cell>
          <cell r="BO64" t="str">
            <v>Prestación de servicios profesionales altamente especializados en materia de economía y análisis cuantitativo; orientados a brindar soporte especializado en la formulación y ejecución de proyectos regulatorios; así como en otras actividades desarrolladas por la Comisión de Regulación de Comunicaciones CRCen el marco de su Plan de Acción para 2026 y la Agenda Regulatoria 2026-2027</v>
          </cell>
          <cell r="BP64" t="str">
            <v>345 Dia(s)</v>
          </cell>
          <cell r="BQ64" t="str">
            <v>No definido</v>
          </cell>
          <cell r="BR64" t="str">
            <v>No Definido</v>
          </cell>
          <cell r="BS64" t="str">
            <v>No definido</v>
          </cell>
          <cell r="BT64" t="str">
            <v>No</v>
          </cell>
          <cell r="BU64" t="str">
            <v/>
          </cell>
          <cell r="BV64" t="str">
            <v>No definido</v>
          </cell>
          <cell r="BW64" t="str">
            <v>No definido</v>
          </cell>
          <cell r="BX64" t="str">
            <v>No definido</v>
          </cell>
          <cell r="BY64" t="str">
            <v>No definido</v>
          </cell>
          <cell r="BZ64" t="str">
            <v>No definido</v>
          </cell>
          <cell r="CA64" t="str">
            <v>No definido</v>
          </cell>
          <cell r="CB64" t="str">
            <v>No definido</v>
          </cell>
          <cell r="CC64" t="str">
            <v>No definido</v>
          </cell>
          <cell r="CD64" t="str">
            <v>No definido</v>
          </cell>
          <cell r="CE64" t="str">
            <v>No</v>
          </cell>
          <cell r="CF64" t="str">
            <v>No definido</v>
          </cell>
          <cell r="CG64" t="str">
            <v>Calle 59 a Bis # 5 - 53 Piso 9 EDIFICIO LINK SIETE SESENTA
Bogotá
Distrito Capital de Bogotá
COLOMBIA</v>
          </cell>
          <cell r="CH64" t="str">
            <v>No definido</v>
          </cell>
          <cell r="CI64" t="str">
            <v>No definido</v>
          </cell>
          <cell r="CJ64" t="str">
            <v>No definido</v>
          </cell>
          <cell r="CK64" t="str">
            <v>No definido</v>
          </cell>
          <cell r="CL64" t="str">
            <v>No definido</v>
          </cell>
          <cell r="CM64" t="str">
            <v>No</v>
          </cell>
          <cell r="CN64" t="str">
            <v/>
          </cell>
          <cell r="CO64" t="str">
            <v/>
          </cell>
          <cell r="CP64" t="str">
            <v/>
          </cell>
          <cell r="CQ64" t="str">
            <v/>
          </cell>
        </row>
        <row r="65">
          <cell r="A65" t="str">
            <v>COMISIÓN DE REGULACIÓN DE COMUNICACIONES</v>
          </cell>
          <cell r="B65" t="str">
            <v>830,002,593</v>
          </cell>
          <cell r="C65" t="str">
            <v>Distrito Capital de Bogotá</v>
          </cell>
          <cell r="D65" t="str">
            <v>Bogotá</v>
          </cell>
          <cell r="E65" t="str">
            <v>Colombia, Bogotá,  Bogotá</v>
          </cell>
          <cell r="F65" t="str">
            <v>Nacional</v>
          </cell>
          <cell r="G65" t="str">
            <v>Tecnologías de la Información y las Comunicaciones</v>
          </cell>
          <cell r="H65" t="str">
            <v>Ejecutivo</v>
          </cell>
          <cell r="I65" t="str">
            <v>Centralizada</v>
          </cell>
          <cell r="J65" t="str">
            <v>CO1.BDOS.10262651</v>
          </cell>
          <cell r="K65" t="str">
            <v>CO1.PCCNTR.9612731</v>
          </cell>
          <cell r="L65" t="str">
            <v>CONTRATO 77 DE 2026</v>
          </cell>
          <cell r="M65" t="str">
            <v>En ejecución</v>
          </cell>
          <cell r="N65" t="str">
            <v>UNSPECIFIED</v>
          </cell>
          <cell r="O65" t="str">
            <v>CONTRATAR LA PÓLIZA DE RESPONSABILIDAD CIVIL DE DATOS - CYBER; DE LA COMISIÓN DE REGULACIÓN DE COMUNICACIONES (CRC)</v>
          </cell>
          <cell r="P65" t="str">
            <v>Seguros</v>
          </cell>
          <cell r="Q65" t="str">
            <v>Selección Abreviada de Menor Cuantía</v>
          </cell>
          <cell r="R65" t="str">
            <v>Presupuesto menor al 10% de la Menor Cuantía</v>
          </cell>
          <cell r="S65" t="str">
            <v>07/09/2026</v>
          </cell>
          <cell r="T65" t="str">
            <v>08/07/2026</v>
          </cell>
          <cell r="U65" t="str">
            <v>02/05/2028</v>
          </cell>
          <cell r="V65" t="str">
            <v>NXTWY.DLVY.6</v>
          </cell>
          <cell r="W65" t="str">
            <v>NIT</v>
          </cell>
          <cell r="X65" t="str">
            <v>860037013</v>
          </cell>
          <cell r="Y65" t="str">
            <v>SEGUROS MUNDIAL S.A.</v>
          </cell>
          <cell r="Z65" t="str">
            <v>No</v>
          </cell>
          <cell r="AA65" t="str">
            <v>No</v>
          </cell>
          <cell r="AB65" t="str">
            <v>No</v>
          </cell>
          <cell r="AC65" t="str">
            <v>Si</v>
          </cell>
          <cell r="AD65" t="str">
            <v>No</v>
          </cell>
          <cell r="AE65" t="str">
            <v>No</v>
          </cell>
          <cell r="AF65" t="str">
            <v>No</v>
          </cell>
          <cell r="AG65" t="str">
            <v>Distribuido</v>
          </cell>
          <cell r="AH65" t="str">
            <v>Funcionamiento</v>
          </cell>
          <cell r="AI65" t="str">
            <v>$187,726,231</v>
          </cell>
          <cell r="AJ65">
            <v>0</v>
          </cell>
          <cell r="AK65" t="str">
            <v>$187,726,230.65</v>
          </cell>
          <cell r="AL65" t="str">
            <v>$0.35</v>
          </cell>
          <cell r="AM65" t="str">
            <v>$187,726,230.65</v>
          </cell>
          <cell r="AN65">
            <v>0</v>
          </cell>
          <cell r="AO65">
            <v>0</v>
          </cell>
          <cell r="AP65" t="str">
            <v>$0.35</v>
          </cell>
          <cell r="AQ65" t="str">
            <v>$187,726,231</v>
          </cell>
          <cell r="AR65">
            <v>0</v>
          </cell>
          <cell r="AS65" t="str">
            <v>No</v>
          </cell>
          <cell r="AT65">
            <v>0</v>
          </cell>
          <cell r="AU65" t="str">
            <v>No aplica</v>
          </cell>
          <cell r="AV65" t="str">
            <v>No aplica</v>
          </cell>
          <cell r="AW65" t="str">
            <v>https://community.secop.gov.co/Public/Tendering/OpportunityDetail/Index?noticeUID=CO1.NTC.10353282&amp;isFromPublicArea=True&amp;isModal=true&amp;asPopupView=true</v>
          </cell>
          <cell r="AX65" t="str">
            <v>COMPAÑIA MUNDIAL DE SEGUROS S.A.</v>
          </cell>
          <cell r="AY65" t="str">
            <v>CO</v>
          </cell>
          <cell r="AZ65" t="str">
            <v>CALLE 33 No. 6B - 24 MEZZANINE</v>
          </cell>
          <cell r="BA65" t="str">
            <v>Sin Descripcion</v>
          </cell>
          <cell r="BB65" t="str">
            <v>Sin Descripcion</v>
          </cell>
          <cell r="BC65" t="str">
            <v>Hombre</v>
          </cell>
          <cell r="BD65" t="str">
            <v>$187,726,231</v>
          </cell>
          <cell r="BE65">
            <v>0</v>
          </cell>
          <cell r="BF65">
            <v>0</v>
          </cell>
          <cell r="BG65">
            <v>0</v>
          </cell>
          <cell r="BH65">
            <v>0</v>
          </cell>
          <cell r="BI65">
            <v>0</v>
          </cell>
          <cell r="BK65" t="str">
            <v>700,149,040</v>
          </cell>
          <cell r="BL65">
            <v>700314016</v>
          </cell>
          <cell r="BM65" t="str">
            <v>2027 Aug 06 12:00:00 AM</v>
          </cell>
          <cell r="BN65">
            <v>47823</v>
          </cell>
          <cell r="BO65" t="str">
            <v>CONTRATAR LA PÓLIZA DE RESPONSABILIDAD CIVIL DE DATOS - CYBER; DE LA COMISIÓN DE REGULACIÓN DE COMUNICACIONES (CRC)</v>
          </cell>
          <cell r="BP65" t="str">
            <v>547 Dia(s)</v>
          </cell>
          <cell r="BQ65" t="str">
            <v>No definido</v>
          </cell>
          <cell r="BR65" t="str">
            <v>No Definido</v>
          </cell>
          <cell r="BS65" t="str">
            <v>No definido</v>
          </cell>
          <cell r="BT65" t="str">
            <v>No</v>
          </cell>
          <cell r="BU65" t="str">
            <v/>
          </cell>
          <cell r="BV65" t="str">
            <v>No definido</v>
          </cell>
          <cell r="BW65" t="str">
            <v>No definido</v>
          </cell>
          <cell r="BX65" t="str">
            <v>No definido</v>
          </cell>
          <cell r="BY65" t="str">
            <v>DIANA WILCHES</v>
          </cell>
          <cell r="BZ65" t="str">
            <v>Cédula de Ciudadanía</v>
          </cell>
          <cell r="CA65" t="str">
            <v>40049758</v>
          </cell>
          <cell r="CB65" t="str">
            <v>No definido</v>
          </cell>
          <cell r="CC65" t="str">
            <v>No definido</v>
          </cell>
          <cell r="CD65" t="str">
            <v>No definido</v>
          </cell>
          <cell r="CE65" t="str">
            <v>No</v>
          </cell>
          <cell r="CF65" t="str">
            <v>No definido</v>
          </cell>
          <cell r="CG65" t="str">
            <v>Calle 59 a Bis # 5 - 53 Piso 9 EDIFICIO LINK SIETE SESENTA
Bogotá
Distrito Capital de Bogotá
COLOMBIA</v>
          </cell>
          <cell r="CH65" t="str">
            <v>No definido</v>
          </cell>
          <cell r="CI65" t="str">
            <v>No definido</v>
          </cell>
          <cell r="CJ65" t="str">
            <v>No definido</v>
          </cell>
          <cell r="CK65" t="str">
            <v>No definido</v>
          </cell>
          <cell r="CL65" t="str">
            <v>No definido</v>
          </cell>
          <cell r="CM65" t="str">
            <v>No</v>
          </cell>
          <cell r="CN65" t="str">
            <v/>
          </cell>
          <cell r="CO65" t="str">
            <v/>
          </cell>
          <cell r="CP65" t="str">
            <v/>
          </cell>
          <cell r="CQ65" t="str">
            <v/>
          </cell>
        </row>
        <row r="66">
          <cell r="A66" t="str">
            <v>COMISIÓN DE REGULACIÓN DE COMUNICACIONES</v>
          </cell>
          <cell r="B66" t="str">
            <v>830,002,593</v>
          </cell>
          <cell r="C66" t="str">
            <v>Distrito Capital de Bogotá</v>
          </cell>
          <cell r="D66" t="str">
            <v>Bogotá</v>
          </cell>
          <cell r="E66" t="str">
            <v>Colombia, Bogotá,  Bogotá</v>
          </cell>
          <cell r="F66" t="str">
            <v>Nacional</v>
          </cell>
          <cell r="G66" t="str">
            <v>Tecnologías de la Información y las Comunicaciones</v>
          </cell>
          <cell r="H66" t="str">
            <v>Ejecutivo</v>
          </cell>
          <cell r="I66" t="str">
            <v>Centralizada</v>
          </cell>
          <cell r="J66" t="str">
            <v>CO1.BDOS.10340428</v>
          </cell>
          <cell r="K66" t="str">
            <v>CO1.PCCNTR.9764844</v>
          </cell>
          <cell r="L66" t="str">
            <v>CONTRATO 87 DE 2026</v>
          </cell>
          <cell r="M66" t="str">
            <v>En ejecución</v>
          </cell>
          <cell r="N66" t="str">
            <v>UNSPECIFIED</v>
          </cell>
          <cell r="O66" t="str">
            <v>Renovación de las licencias y los servicios de soporte técnico especializado por un (1) año; que incluya el fortalecimiento; la configuración; parametrización; optimización y apoyo a la gestión de los equipos de comunicaciones y de seguridad perimetral; requeridas para garantizar la operación de la</v>
          </cell>
          <cell r="P66" t="str">
            <v>Prestación de servicios</v>
          </cell>
          <cell r="Q66" t="str">
            <v>Selección Abreviada de Menor Cuantía</v>
          </cell>
          <cell r="R66" t="str">
            <v>Presupuesto menor al 10% de la Menor Cuantía</v>
          </cell>
          <cell r="S66" t="str">
            <v>08/05/2026</v>
          </cell>
          <cell r="T66" t="str">
            <v>08/18/2026</v>
          </cell>
          <cell r="U66" t="str">
            <v>08/17/2027</v>
          </cell>
          <cell r="V66" t="str">
            <v>NXTWY.DLVY.6</v>
          </cell>
          <cell r="W66" t="str">
            <v>NIT</v>
          </cell>
          <cell r="X66" t="str">
            <v>900390198</v>
          </cell>
          <cell r="Y66" t="str">
            <v>WEXLER S.A.S</v>
          </cell>
          <cell r="Z66" t="str">
            <v>No</v>
          </cell>
          <cell r="AA66" t="str">
            <v>Si</v>
          </cell>
          <cell r="AB66" t="str">
            <v>No</v>
          </cell>
          <cell r="AC66" t="str">
            <v>No</v>
          </cell>
          <cell r="AD66" t="str">
            <v>No</v>
          </cell>
          <cell r="AE66" t="str">
            <v>No</v>
          </cell>
          <cell r="AF66" t="str">
            <v>No</v>
          </cell>
          <cell r="AG66" t="str">
            <v>Distribuido</v>
          </cell>
          <cell r="AH66" t="str">
            <v>Inversión</v>
          </cell>
          <cell r="AI66" t="str">
            <v>$431,121,316</v>
          </cell>
          <cell r="AJ66">
            <v>0</v>
          </cell>
          <cell r="AK66" t="str">
            <v>$0</v>
          </cell>
          <cell r="AL66" t="str">
            <v>$431,121,316</v>
          </cell>
          <cell r="AM66" t="str">
            <v>$0</v>
          </cell>
          <cell r="AN66">
            <v>0</v>
          </cell>
          <cell r="AO66">
            <v>0</v>
          </cell>
          <cell r="AP66" t="str">
            <v>$431,121,316</v>
          </cell>
          <cell r="AQ66" t="str">
            <v>$431,121,316</v>
          </cell>
          <cell r="AR66">
            <v>0</v>
          </cell>
          <cell r="AS66" t="str">
            <v>No</v>
          </cell>
          <cell r="AT66">
            <v>0</v>
          </cell>
          <cell r="AU66" t="str">
            <v>No aplica</v>
          </cell>
          <cell r="AV66" t="str">
            <v>No aplica</v>
          </cell>
          <cell r="AW66" t="str">
            <v>https://community.secop.gov.co/Public/Tendering/OpportunityDetail/Index?noticeUID=CO1.NTC.10473469&amp;isFromPublicArea=True&amp;isModal=true&amp;asPopupView=true</v>
          </cell>
          <cell r="AX66" t="str">
            <v>Andres David Tabares Tellez</v>
          </cell>
          <cell r="AY66" t="str">
            <v>CO</v>
          </cell>
          <cell r="AZ66" t="str">
            <v>Calle 24 C 44 A 26</v>
          </cell>
          <cell r="BA66" t="str">
            <v>Sin Descripcion</v>
          </cell>
          <cell r="BB66" t="str">
            <v>Sin Descripcion</v>
          </cell>
          <cell r="BC66" t="str">
            <v>Hombre</v>
          </cell>
          <cell r="BD66" t="str">
            <v>$431,121,316</v>
          </cell>
          <cell r="BE66">
            <v>0</v>
          </cell>
          <cell r="BF66">
            <v>0</v>
          </cell>
          <cell r="BG66">
            <v>0</v>
          </cell>
          <cell r="BH66">
            <v>0</v>
          </cell>
          <cell r="BI66">
            <v>0</v>
          </cell>
          <cell r="BK66" t="str">
            <v>700,149,040</v>
          </cell>
          <cell r="BL66">
            <v>700898133</v>
          </cell>
          <cell r="BM66" t="str">
            <v/>
          </cell>
          <cell r="BO66" t="str">
            <v>Renovación de las licencias y los servicios de soporte técnico especializado por un (1) año; que incluya el fortalecimiento; la configuración; parametrización; optimización y apoyo a la gestión de los equipos de comunicaciones y de seguridad perimetral; requeridas para garantizar la operación de la infraestructura híbrida y a los usuarios finales de la Entidad</v>
          </cell>
          <cell r="BP66" t="str">
            <v>12 Mes(es)</v>
          </cell>
          <cell r="BQ66" t="str">
            <v>No definido</v>
          </cell>
          <cell r="BR66" t="str">
            <v>No Definido</v>
          </cell>
          <cell r="BS66" t="str">
            <v>No definido</v>
          </cell>
          <cell r="BT66" t="str">
            <v>No</v>
          </cell>
          <cell r="BU66" t="str">
            <v/>
          </cell>
          <cell r="BV66" t="str">
            <v>No definido</v>
          </cell>
          <cell r="BW66" t="str">
            <v>No definido</v>
          </cell>
          <cell r="BX66" t="str">
            <v>No definido</v>
          </cell>
          <cell r="BY66" t="str">
            <v>No definido</v>
          </cell>
          <cell r="BZ66" t="str">
            <v>No definido</v>
          </cell>
          <cell r="CA66" t="str">
            <v>No definido</v>
          </cell>
          <cell r="CB66" t="str">
            <v>No definido</v>
          </cell>
          <cell r="CC66" t="str">
            <v>No definido</v>
          </cell>
          <cell r="CD66" t="str">
            <v>No definido</v>
          </cell>
          <cell r="CE66" t="str">
            <v>No</v>
          </cell>
          <cell r="CF66" t="str">
            <v>No definido</v>
          </cell>
          <cell r="CG66" t="str">
            <v>Calle 59 a Bis # 5 - 53 Piso 9 EDIFICIO LINK SIETE SESENTA
Bogotá
Distrito Capital de Bogotá
COLOMBIA</v>
          </cell>
          <cell r="CH66" t="str">
            <v>No definido</v>
          </cell>
          <cell r="CI66" t="str">
            <v>No definido</v>
          </cell>
          <cell r="CJ66" t="str">
            <v>No definido</v>
          </cell>
          <cell r="CK66" t="str">
            <v>No definido</v>
          </cell>
          <cell r="CL66" t="str">
            <v>No definido</v>
          </cell>
          <cell r="CM66" t="str">
            <v>No</v>
          </cell>
          <cell r="CN66" t="str">
            <v/>
          </cell>
          <cell r="CO66" t="str">
            <v/>
          </cell>
          <cell r="CP66" t="str">
            <v/>
          </cell>
          <cell r="CQ66" t="str">
            <v/>
          </cell>
        </row>
        <row r="67">
          <cell r="A67" t="str">
            <v>COMISIÓN DE REGULACIÓN DE COMUNICACIONES</v>
          </cell>
          <cell r="B67" t="str">
            <v>830,002,593</v>
          </cell>
          <cell r="C67" t="str">
            <v>Distrito Capital de Bogotá</v>
          </cell>
          <cell r="D67" t="str">
            <v>Bogotá</v>
          </cell>
          <cell r="E67" t="str">
            <v>Colombia, Bogotá,  Bogotá</v>
          </cell>
          <cell r="F67" t="str">
            <v>Nacional</v>
          </cell>
          <cell r="G67" t="str">
            <v>Tecnologías de la Información y las Comunicaciones</v>
          </cell>
          <cell r="H67" t="str">
            <v>Ejecutivo</v>
          </cell>
          <cell r="I67" t="str">
            <v>Centralizada</v>
          </cell>
          <cell r="J67" t="str">
            <v>CO1.BDOS.9329022</v>
          </cell>
          <cell r="K67" t="str">
            <v>CO1.PCCNTR.8976321</v>
          </cell>
          <cell r="L67" t="str">
            <v>CONTRATO 26 DE 2026</v>
          </cell>
          <cell r="M67" t="str">
            <v>Modificado</v>
          </cell>
          <cell r="N67" t="str">
            <v>V1.81101700</v>
          </cell>
          <cell r="O67" t="str">
            <v>Prestación de servicios profesionales altamente especializados en ingeniería para apoyar técnicamente el desarrollo y análisis de los proyectos regulatorios de la Comisión de Regulación de Comunicaciones en el marco del Plan de Acción 2026 y la Agenda Regulatoria 2026-2027. Este apoyo incluirá activ</v>
          </cell>
          <cell r="P67" t="str">
            <v>Prestación de servicios</v>
          </cell>
          <cell r="Q67" t="str">
            <v>Contratación directa</v>
          </cell>
          <cell r="R67" t="str">
            <v>Servicios profesionales y apoyo a la gestión</v>
          </cell>
          <cell r="S67" t="str">
            <v>01/19/2026</v>
          </cell>
          <cell r="T67" t="str">
            <v>01/20/2026</v>
          </cell>
          <cell r="U67" t="str">
            <v>12/31/2026</v>
          </cell>
          <cell r="V67" t="str">
            <v>NXTWY.DLVY.6</v>
          </cell>
          <cell r="W67" t="str">
            <v>NIT</v>
          </cell>
          <cell r="X67" t="str">
            <v>900247322</v>
          </cell>
          <cell r="Y67" t="str">
            <v>TACHYON</v>
          </cell>
          <cell r="Z67" t="str">
            <v>No</v>
          </cell>
          <cell r="AA67" t="str">
            <v>Si</v>
          </cell>
          <cell r="AB67" t="str">
            <v>No</v>
          </cell>
          <cell r="AC67" t="str">
            <v>No</v>
          </cell>
          <cell r="AD67" t="str">
            <v>No</v>
          </cell>
          <cell r="AE67" t="str">
            <v>No</v>
          </cell>
          <cell r="AF67" t="str">
            <v>No</v>
          </cell>
          <cell r="AG67" t="str">
            <v>Distribuido</v>
          </cell>
          <cell r="AH67" t="str">
            <v>Inversión</v>
          </cell>
          <cell r="AI67" t="str">
            <v>$619,103,600</v>
          </cell>
          <cell r="AJ67">
            <v>0</v>
          </cell>
          <cell r="AK67" t="str">
            <v>$446,968,360.82</v>
          </cell>
          <cell r="AL67" t="str">
            <v>$172,135,239.18</v>
          </cell>
          <cell r="AM67" t="str">
            <v>$446,968,360.82</v>
          </cell>
          <cell r="AN67">
            <v>0</v>
          </cell>
          <cell r="AO67">
            <v>0</v>
          </cell>
          <cell r="AP67" t="str">
            <v>$172,135,239.18</v>
          </cell>
          <cell r="AQ67" t="str">
            <v>$619,103,600</v>
          </cell>
          <cell r="AR67">
            <v>0</v>
          </cell>
          <cell r="AS67" t="str">
            <v>No</v>
          </cell>
          <cell r="AT67">
            <v>0</v>
          </cell>
          <cell r="AU67" t="str">
            <v>No aplica</v>
          </cell>
          <cell r="AV67" t="str">
            <v>No aplica</v>
          </cell>
          <cell r="AW67" t="str">
            <v>https://community.secop.gov.co/Public/Tendering/OpportunityDetail/Index?noticeUID=CO1.NTC.9606893&amp;isFromPublicArea=True&amp;isModal=true&amp;asPopupView=true</v>
          </cell>
          <cell r="AX67" t="str">
            <v>Claudia Marcela Torres Segura</v>
          </cell>
          <cell r="AY67" t="str">
            <v>CO</v>
          </cell>
          <cell r="AZ67" t="str">
            <v>No Definido</v>
          </cell>
          <cell r="BA67" t="str">
            <v>Sin Descripcion</v>
          </cell>
          <cell r="BB67" t="str">
            <v>Sin Descripcion</v>
          </cell>
          <cell r="BC67" t="str">
            <v>Mujer</v>
          </cell>
          <cell r="BD67" t="str">
            <v>$619,103,600</v>
          </cell>
          <cell r="BE67">
            <v>0</v>
          </cell>
          <cell r="BF67">
            <v>0</v>
          </cell>
          <cell r="BG67">
            <v>0</v>
          </cell>
          <cell r="BH67">
            <v>0</v>
          </cell>
          <cell r="BI67">
            <v>0</v>
          </cell>
          <cell r="BJ67">
            <v>46308</v>
          </cell>
          <cell r="BK67" t="str">
            <v>700,149,040</v>
          </cell>
          <cell r="BL67">
            <v>701379349</v>
          </cell>
          <cell r="BM67" t="str">
            <v/>
          </cell>
          <cell r="BO67" t="str">
            <v>Prestación de servicios profesionales altamente especializados en ingeniería para apoyar técnicamente el desarrollo y análisis de los proyectos regulatorios de la Comisión de Regulación de Comunicaciones en el marco del Plan de Acción 2026 y la Agenda Regulatoria 2026-2027. Este apoyo incluirá actividades técnicas en materia de acceso e interconexión; dimensionamiento y estimación de tráfico; análisis de calidad de los servicios fijos y móviles; evaluación de infraestructura y capacidad de red</v>
          </cell>
          <cell r="BP67" t="str">
            <v>345 Dia(s)</v>
          </cell>
          <cell r="BQ67" t="str">
            <v>No definido</v>
          </cell>
          <cell r="BR67" t="str">
            <v>No Definido</v>
          </cell>
          <cell r="BS67" t="str">
            <v>No definido</v>
          </cell>
          <cell r="BT67" t="str">
            <v>No</v>
          </cell>
          <cell r="BU67" t="str">
            <v/>
          </cell>
          <cell r="BV67" t="str">
            <v>No definido</v>
          </cell>
          <cell r="BW67" t="str">
            <v>No definido</v>
          </cell>
          <cell r="BX67" t="str">
            <v>No definido</v>
          </cell>
          <cell r="BY67" t="str">
            <v>No definido</v>
          </cell>
          <cell r="BZ67" t="str">
            <v>No definido</v>
          </cell>
          <cell r="CA67" t="str">
            <v>No definido</v>
          </cell>
          <cell r="CB67" t="str">
            <v>No definido</v>
          </cell>
          <cell r="CC67" t="str">
            <v>No definido</v>
          </cell>
          <cell r="CD67" t="str">
            <v>No definido</v>
          </cell>
          <cell r="CE67" t="str">
            <v>No</v>
          </cell>
          <cell r="CF67" t="str">
            <v>No definido</v>
          </cell>
          <cell r="CG67" t="str">
            <v>Calle 59 a Bis # 5 - 53 Piso 9 EDIFICIO LINK SIETE SESENTA
Bogotá
Distrito Capital de Bogotá
COLOMBIA</v>
          </cell>
          <cell r="CH67" t="str">
            <v>No definido</v>
          </cell>
          <cell r="CI67" t="str">
            <v>No definido</v>
          </cell>
          <cell r="CJ67" t="str">
            <v>No definido</v>
          </cell>
          <cell r="CK67" t="str">
            <v>No definido</v>
          </cell>
          <cell r="CL67" t="str">
            <v>No definido</v>
          </cell>
          <cell r="CM67" t="str">
            <v>No</v>
          </cell>
          <cell r="CN67" t="str">
            <v/>
          </cell>
          <cell r="CO67" t="str">
            <v/>
          </cell>
          <cell r="CP67" t="str">
            <v/>
          </cell>
          <cell r="CQ67" t="str">
            <v/>
          </cell>
        </row>
        <row r="68">
          <cell r="A68" t="str">
            <v>COMISIÓN DE REGULACIÓN DE COMUNICACIONES</v>
          </cell>
          <cell r="B68" t="str">
            <v>830,002,593</v>
          </cell>
          <cell r="C68" t="str">
            <v>Distrito Capital de Bogotá</v>
          </cell>
          <cell r="D68" t="str">
            <v>Bogotá</v>
          </cell>
          <cell r="E68" t="str">
            <v>Colombia, Bogotá,  Bogotá</v>
          </cell>
          <cell r="F68" t="str">
            <v>Nacional</v>
          </cell>
          <cell r="G68" t="str">
            <v>Tecnologías de la Información y las Comunicaciones</v>
          </cell>
          <cell r="H68" t="str">
            <v>Ejecutivo</v>
          </cell>
          <cell r="I68" t="str">
            <v>Centralizada</v>
          </cell>
          <cell r="J68" t="str">
            <v>CO1.BDOS.10110716</v>
          </cell>
          <cell r="K68" t="str">
            <v>CO1.PCCNTR.9464607</v>
          </cell>
          <cell r="L68" t="str">
            <v>CONTRATO 70 DE 2026</v>
          </cell>
          <cell r="M68" t="str">
            <v>En ejecución</v>
          </cell>
          <cell r="N68" t="str">
            <v>V1.82121500</v>
          </cell>
          <cell r="O68" t="str">
            <v>Suministro de veinticinco (25) carnets; para la identificación de los funcionarios de planta de la Comisión de Regulación de Comunicaciones</v>
          </cell>
          <cell r="P68" t="str">
            <v>Suministros</v>
          </cell>
          <cell r="Q68" t="str">
            <v>Mínima cuantía</v>
          </cell>
          <cell r="R68" t="str">
            <v>Presupuesto inferior al 10% de la menor cuantía</v>
          </cell>
          <cell r="S68" t="str">
            <v>04/21/2026</v>
          </cell>
          <cell r="T68" t="str">
            <v>04/30/2026</v>
          </cell>
          <cell r="U68" t="str">
            <v>12/15/2026</v>
          </cell>
          <cell r="V68" t="str">
            <v>NXTWY.DLVY.6</v>
          </cell>
          <cell r="W68" t="str">
            <v>NIT</v>
          </cell>
          <cell r="X68" t="str">
            <v>901999408</v>
          </cell>
          <cell r="Y68" t="str">
            <v>S.L.A. &amp; Medios SAS</v>
          </cell>
          <cell r="Z68" t="str">
            <v>No</v>
          </cell>
          <cell r="AA68" t="str">
            <v>Si</v>
          </cell>
          <cell r="AB68" t="str">
            <v>No</v>
          </cell>
          <cell r="AC68" t="str">
            <v>Si</v>
          </cell>
          <cell r="AD68" t="str">
            <v>No</v>
          </cell>
          <cell r="AE68" t="str">
            <v>No</v>
          </cell>
          <cell r="AF68" t="str">
            <v>No</v>
          </cell>
          <cell r="AG68" t="str">
            <v>Distribuido</v>
          </cell>
          <cell r="AH68" t="str">
            <v>Funcionamiento</v>
          </cell>
          <cell r="AI68" t="str">
            <v>$270,000</v>
          </cell>
          <cell r="AJ68">
            <v>0</v>
          </cell>
          <cell r="AK68" t="str">
            <v>$118,800</v>
          </cell>
          <cell r="AL68" t="str">
            <v>$151,200</v>
          </cell>
          <cell r="AM68" t="str">
            <v>$118,800</v>
          </cell>
          <cell r="AN68">
            <v>0</v>
          </cell>
          <cell r="AO68">
            <v>0</v>
          </cell>
          <cell r="AP68" t="str">
            <v>$151,200</v>
          </cell>
          <cell r="AQ68" t="str">
            <v>$346,625</v>
          </cell>
          <cell r="AR68">
            <v>0</v>
          </cell>
          <cell r="AS68" t="str">
            <v>No</v>
          </cell>
          <cell r="AT68">
            <v>0</v>
          </cell>
          <cell r="AU68" t="str">
            <v>No aplica</v>
          </cell>
          <cell r="AV68" t="str">
            <v>No aplica</v>
          </cell>
          <cell r="AW68" t="str">
            <v>https://community.secop.gov.co/Public/Tendering/OpportunityDetail/Index?noticeUID=CO1.NTC.10140135&amp;isFromPublicArea=True&amp;isModal=true&amp;asPopupView=true</v>
          </cell>
          <cell r="AX68" t="str">
            <v>Sergio Camilo López Acosta</v>
          </cell>
          <cell r="AY68" t="str">
            <v>CO</v>
          </cell>
          <cell r="AZ68" t="str">
            <v>No Definido</v>
          </cell>
          <cell r="BA68" t="str">
            <v>Sin Descripcion</v>
          </cell>
          <cell r="BB68" t="str">
            <v>Sin Descripcion</v>
          </cell>
          <cell r="BC68" t="str">
            <v>Hombre</v>
          </cell>
          <cell r="BD68" t="str">
            <v>$270,000</v>
          </cell>
          <cell r="BE68">
            <v>0</v>
          </cell>
          <cell r="BF68">
            <v>0</v>
          </cell>
          <cell r="BG68">
            <v>0</v>
          </cell>
          <cell r="BH68">
            <v>0</v>
          </cell>
          <cell r="BI68">
            <v>0</v>
          </cell>
          <cell r="BK68" t="str">
            <v>700,149,040</v>
          </cell>
          <cell r="BL68">
            <v>733922652</v>
          </cell>
          <cell r="BM68" t="str">
            <v>2026 Dec 15 12:00:00 AM</v>
          </cell>
          <cell r="BN68">
            <v>47588</v>
          </cell>
          <cell r="BO68" t="str">
            <v>Suministro de veinticinco (25) carnets; para la identificación de los funcionarios de planta de la Comisión de Regulación de Comunicaciones</v>
          </cell>
          <cell r="BP68" t="str">
            <v>300 Dia(s)</v>
          </cell>
          <cell r="BQ68" t="str">
            <v>No definido</v>
          </cell>
          <cell r="BR68" t="str">
            <v>No Definido</v>
          </cell>
          <cell r="BS68" t="str">
            <v>No definido</v>
          </cell>
          <cell r="BT68" t="str">
            <v>No</v>
          </cell>
          <cell r="BU68" t="str">
            <v/>
          </cell>
          <cell r="BV68" t="str">
            <v>No definido</v>
          </cell>
          <cell r="BW68" t="str">
            <v>No definido</v>
          </cell>
          <cell r="BX68" t="str">
            <v>No definido</v>
          </cell>
          <cell r="BY68" t="str">
            <v>Claudia Marcela Palacio Jiménez</v>
          </cell>
          <cell r="BZ68" t="str">
            <v>Cédula de Ciudadanía</v>
          </cell>
          <cell r="CA68" t="str">
            <v>30322559</v>
          </cell>
          <cell r="CB68" t="str">
            <v>No definido</v>
          </cell>
          <cell r="CC68" t="str">
            <v>No definido</v>
          </cell>
          <cell r="CD68" t="str">
            <v>No definido</v>
          </cell>
          <cell r="CE68" t="str">
            <v>No</v>
          </cell>
          <cell r="CF68" t="str">
            <v>No definido</v>
          </cell>
          <cell r="CG68" t="str">
            <v>Calle 59 a Bis # 5 - 53 Piso 9 EDIFICIO LINK SIETE SESENTA
Bogotá
Distrito Capital de Bogotá
COLOMBIA</v>
          </cell>
          <cell r="CH68" t="str">
            <v>No definido</v>
          </cell>
          <cell r="CI68" t="str">
            <v>No definido</v>
          </cell>
          <cell r="CJ68" t="str">
            <v>No definido</v>
          </cell>
          <cell r="CK68" t="str">
            <v>No definido</v>
          </cell>
          <cell r="CL68" t="str">
            <v>No definido</v>
          </cell>
          <cell r="CM68" t="str">
            <v>No</v>
          </cell>
          <cell r="CN68" t="str">
            <v/>
          </cell>
          <cell r="CO68" t="str">
            <v/>
          </cell>
          <cell r="CP68" t="str">
            <v/>
          </cell>
          <cell r="CQ68" t="str">
            <v/>
          </cell>
        </row>
        <row r="69">
          <cell r="A69" t="str">
            <v>COMISIÓN DE REGULACIÓN DE COMUNICACIONES</v>
          </cell>
          <cell r="B69" t="str">
            <v>830,002,593</v>
          </cell>
          <cell r="C69" t="str">
            <v>Distrito Capital de Bogotá</v>
          </cell>
          <cell r="D69" t="str">
            <v>Bogotá</v>
          </cell>
          <cell r="E69" t="str">
            <v>Colombia, Bogotá,  Bogotá</v>
          </cell>
          <cell r="F69" t="str">
            <v>Nacional</v>
          </cell>
          <cell r="G69" t="str">
            <v>Tecnologías de la Información y las Comunicaciones</v>
          </cell>
          <cell r="H69" t="str">
            <v>Ejecutivo</v>
          </cell>
          <cell r="I69" t="str">
            <v>Centralizada</v>
          </cell>
          <cell r="J69" t="str">
            <v>CO1.BDOS.9290422</v>
          </cell>
          <cell r="K69" t="str">
            <v>CO1.PCCNTR.8860266</v>
          </cell>
          <cell r="L69" t="str">
            <v>CONTRATO 14 DE 2026</v>
          </cell>
          <cell r="M69" t="str">
            <v>En ejecución</v>
          </cell>
          <cell r="N69" t="str">
            <v>V1.80121601</v>
          </cell>
          <cell r="O69" t="str">
            <v>Prestar servicios profesionales para el diseño; ejecución y evaluación de estrategias orientadas al fortalecimiento del pluralismo informativo y la alfabetización mediática; mediante el desarrollo de metodologías de observación y análisis de contenidos; la ejecución de proyectos regulatorios y estra</v>
          </cell>
          <cell r="P69" t="str">
            <v>Prestación de servicios</v>
          </cell>
          <cell r="Q69" t="str">
            <v>Contratación directa</v>
          </cell>
          <cell r="R69" t="str">
            <v>Servicios profesionales y apoyo a la gestión</v>
          </cell>
          <cell r="S69" t="str">
            <v>01/14/2026</v>
          </cell>
          <cell r="T69" t="str">
            <v>01/16/2026</v>
          </cell>
          <cell r="U69" t="str">
            <v>12/31/2026</v>
          </cell>
          <cell r="V69" t="str">
            <v>NXTWY.DLVY.6</v>
          </cell>
          <cell r="W69" t="str">
            <v>Cédula de Ciudadanía</v>
          </cell>
          <cell r="X69" t="str">
            <v>1018410406</v>
          </cell>
          <cell r="Y69" t="str">
            <v>Juan Sebastian Salamanca Calle</v>
          </cell>
          <cell r="Z69" t="str">
            <v>No</v>
          </cell>
          <cell r="AA69" t="str">
            <v>No</v>
          </cell>
          <cell r="AB69" t="str">
            <v>No</v>
          </cell>
          <cell r="AC69" t="str">
            <v>No</v>
          </cell>
          <cell r="AD69" t="str">
            <v>No</v>
          </cell>
          <cell r="AE69" t="str">
            <v>No</v>
          </cell>
          <cell r="AF69" t="str">
            <v>No</v>
          </cell>
          <cell r="AG69" t="str">
            <v>Distribuido</v>
          </cell>
          <cell r="AH69" t="str">
            <v>Inversión</v>
          </cell>
          <cell r="AI69" t="str">
            <v>$136,132,699</v>
          </cell>
          <cell r="AJ69">
            <v>0</v>
          </cell>
          <cell r="AK69" t="str">
            <v>$100,619,821</v>
          </cell>
          <cell r="AL69" t="str">
            <v>$35,512,878</v>
          </cell>
          <cell r="AM69" t="str">
            <v>$100,619,821</v>
          </cell>
          <cell r="AN69">
            <v>0</v>
          </cell>
          <cell r="AO69">
            <v>0</v>
          </cell>
          <cell r="AP69" t="str">
            <v>$35,512,878</v>
          </cell>
          <cell r="AQ69" t="str">
            <v>$136,132,699</v>
          </cell>
          <cell r="AR69">
            <v>0</v>
          </cell>
          <cell r="AS69" t="str">
            <v>No</v>
          </cell>
          <cell r="AT69">
            <v>0</v>
          </cell>
          <cell r="AU69" t="str">
            <v>No aplica</v>
          </cell>
          <cell r="AV69" t="str">
            <v>No aplica</v>
          </cell>
          <cell r="AW69" t="str">
            <v>https://community.secop.gov.co/Public/Tendering/OpportunityDetail/Index?noticeUID=CO1.NTC.9487596&amp;isFromPublicArea=True&amp;isModal=true&amp;asPopupView=true</v>
          </cell>
          <cell r="AX69" t="str">
            <v>Juan Sebastián Salamanca Calle</v>
          </cell>
          <cell r="AY69" t="str">
            <v>CO</v>
          </cell>
          <cell r="AZ69" t="str">
            <v>No Definido</v>
          </cell>
          <cell r="BA69" t="str">
            <v>Cédula de Ciudadanía</v>
          </cell>
          <cell r="BB69" t="str">
            <v>1018410406</v>
          </cell>
          <cell r="BC69" t="str">
            <v>Hombre</v>
          </cell>
          <cell r="BD69" t="str">
            <v>$136,132,699</v>
          </cell>
          <cell r="BE69">
            <v>0</v>
          </cell>
          <cell r="BF69">
            <v>0</v>
          </cell>
          <cell r="BG69">
            <v>0</v>
          </cell>
          <cell r="BH69">
            <v>0</v>
          </cell>
          <cell r="BI69">
            <v>0</v>
          </cell>
          <cell r="BK69" t="str">
            <v>700,149,040</v>
          </cell>
          <cell r="BL69">
            <v>730455789</v>
          </cell>
          <cell r="BM69" t="str">
            <v/>
          </cell>
          <cell r="BO69" t="str">
            <v>Prestar servicios profesionales para el diseño; ejecución y evaluación de estrategias orientadas al fortalecimiento del pluralismo informativo y la alfabetización mediática; mediante el desarrollo de metodologías de observación y análisis de contenidos; la ejecución de proyectos regulatorios y estrategias pedagógicas innovadoras que promuevan el consumo responsable de información y la comprensión del entorno comunicativo convergente; en el marco de los proyectos contemplados (...)</v>
          </cell>
          <cell r="BP69" t="str">
            <v>345 Dia(s)</v>
          </cell>
          <cell r="BQ69" t="str">
            <v>No definido</v>
          </cell>
          <cell r="BR69" t="str">
            <v>No Definido</v>
          </cell>
          <cell r="BS69" t="str">
            <v>No definido</v>
          </cell>
          <cell r="BT69" t="str">
            <v>No</v>
          </cell>
          <cell r="BU69" t="str">
            <v/>
          </cell>
          <cell r="BV69" t="str">
            <v>Zoila Consuelo Vargas Mesa</v>
          </cell>
          <cell r="BW69" t="str">
            <v>Cédula de Ciudadanía</v>
          </cell>
          <cell r="BX69" t="str">
            <v>46360403</v>
          </cell>
          <cell r="BY69" t="str">
            <v>Ricardo Ramirez Hernandez</v>
          </cell>
          <cell r="BZ69" t="str">
            <v>Cédula de Ciudadanía</v>
          </cell>
          <cell r="CA69" t="str">
            <v>79444533</v>
          </cell>
          <cell r="CB69" t="str">
            <v>No definido</v>
          </cell>
          <cell r="CC69" t="str">
            <v>No definido</v>
          </cell>
          <cell r="CD69" t="str">
            <v>No definido</v>
          </cell>
          <cell r="CE69" t="str">
            <v>No</v>
          </cell>
          <cell r="CF69" t="str">
            <v>No definido</v>
          </cell>
          <cell r="CG69" t="str">
            <v>Calle 59 a Bis # 5 - 53 Piso 9 EDIFICIO LINK SIETE SESENTA
Bogotá
Distrito Capital de Bogotá
COLOMBIA</v>
          </cell>
          <cell r="CH69" t="str">
            <v>No definido</v>
          </cell>
          <cell r="CI69" t="str">
            <v>No definido</v>
          </cell>
          <cell r="CJ69" t="str">
            <v>No definido</v>
          </cell>
          <cell r="CK69" t="str">
            <v>No definido</v>
          </cell>
          <cell r="CL69" t="str">
            <v>No definido</v>
          </cell>
          <cell r="CM69" t="str">
            <v>No</v>
          </cell>
          <cell r="CN69" t="str">
            <v/>
          </cell>
          <cell r="CO69" t="str">
            <v/>
          </cell>
          <cell r="CP69" t="str">
            <v/>
          </cell>
          <cell r="CQ69" t="str">
            <v/>
          </cell>
        </row>
        <row r="70">
          <cell r="A70" t="str">
            <v>COMISIÓN DE REGULACIÓN DE COMUNICACIONES</v>
          </cell>
          <cell r="B70" t="str">
            <v>830,002,593</v>
          </cell>
          <cell r="C70" t="str">
            <v>Distrito Capital de Bogotá</v>
          </cell>
          <cell r="D70" t="str">
            <v>Bogotá</v>
          </cell>
          <cell r="E70" t="str">
            <v>Colombia, Bogotá,  Bogotá</v>
          </cell>
          <cell r="F70" t="str">
            <v>Nacional</v>
          </cell>
          <cell r="G70" t="str">
            <v>Tecnologías de la Información y las Comunicaciones</v>
          </cell>
          <cell r="H70" t="str">
            <v>Ejecutivo</v>
          </cell>
          <cell r="I70" t="str">
            <v>Centralizada</v>
          </cell>
          <cell r="J70" t="str">
            <v>CO1.BDOS.9272415</v>
          </cell>
          <cell r="K70" t="str">
            <v>CO1.PCCNTR.8855407</v>
          </cell>
          <cell r="L70" t="str">
            <v>CONTRATO 02 DE 2026</v>
          </cell>
          <cell r="M70" t="str">
            <v>En ejecución</v>
          </cell>
          <cell r="N70" t="str">
            <v>V1.82141504</v>
          </cell>
          <cell r="O70" t="str">
            <v>Prestación de servicios profesionales especializados en diseño gráfico y dirección de arte; para apoyar la implementación de la Estrategia de Comunicaciones 2026 de la CRC; mediante la creación de piezas gráficas estáticas y animadas; la diagramación de materiales institucionales y la ejecución de a</v>
          </cell>
          <cell r="P70" t="str">
            <v>Prestación de servicios</v>
          </cell>
          <cell r="Q70" t="str">
            <v>Contratación directa</v>
          </cell>
          <cell r="R70" t="str">
            <v>Servicios profesionales y apoyo a la gestión</v>
          </cell>
          <cell r="S70" t="str">
            <v>01/14/2026</v>
          </cell>
          <cell r="T70" t="str">
            <v>01/16/2026</v>
          </cell>
          <cell r="U70" t="str">
            <v>12/31/2026</v>
          </cell>
          <cell r="V70" t="str">
            <v>NXTWY.DLVY.6</v>
          </cell>
          <cell r="W70" t="str">
            <v>Cédula de Ciudadanía</v>
          </cell>
          <cell r="X70" t="str">
            <v>80816060</v>
          </cell>
          <cell r="Y70" t="str">
            <v>ERIK ANDRES BARBOSA PARRA</v>
          </cell>
          <cell r="Z70" t="str">
            <v>No</v>
          </cell>
          <cell r="AA70" t="str">
            <v>No</v>
          </cell>
          <cell r="AB70" t="str">
            <v>No</v>
          </cell>
          <cell r="AC70" t="str">
            <v>No</v>
          </cell>
          <cell r="AD70" t="str">
            <v>No</v>
          </cell>
          <cell r="AE70" t="str">
            <v>No</v>
          </cell>
          <cell r="AF70" t="str">
            <v>No</v>
          </cell>
          <cell r="AG70" t="str">
            <v>Distribuido</v>
          </cell>
          <cell r="AH70" t="str">
            <v>Inversión</v>
          </cell>
          <cell r="AI70" t="str">
            <v>$145,299,786</v>
          </cell>
          <cell r="AJ70">
            <v>0</v>
          </cell>
          <cell r="AK70" t="str">
            <v>$107,395,494</v>
          </cell>
          <cell r="AL70" t="str">
            <v>$50,539,056</v>
          </cell>
          <cell r="AM70" t="str">
            <v>$94,760,730</v>
          </cell>
          <cell r="AN70">
            <v>0</v>
          </cell>
          <cell r="AO70">
            <v>0</v>
          </cell>
          <cell r="AP70" t="str">
            <v>$50,539,056</v>
          </cell>
          <cell r="AQ70" t="str">
            <v>$145,299,786</v>
          </cell>
          <cell r="AR70">
            <v>0</v>
          </cell>
          <cell r="AS70" t="str">
            <v>No</v>
          </cell>
          <cell r="AT70">
            <v>0</v>
          </cell>
          <cell r="AU70" t="str">
            <v>No aplica</v>
          </cell>
          <cell r="AV70" t="str">
            <v>No aplica</v>
          </cell>
          <cell r="AW70" t="str">
            <v>https://community.secop.gov.co/Public/Tendering/OpportunityDetail/Index?noticeUID=CO1.NTC.9485612&amp;isFromPublicArea=True&amp;isModal=true&amp;asPopupView=true</v>
          </cell>
          <cell r="AX70" t="str">
            <v>ERIK ANDRES BARBOSA PARRA</v>
          </cell>
          <cell r="AY70" t="str">
            <v>CO</v>
          </cell>
          <cell r="AZ70" t="str">
            <v>CARRERA 92 # 162 -40</v>
          </cell>
          <cell r="BA70" t="str">
            <v>Cédula de Ciudadanía</v>
          </cell>
          <cell r="BB70" t="str">
            <v>80816060</v>
          </cell>
          <cell r="BC70" t="str">
            <v>No Definido</v>
          </cell>
          <cell r="BD70" t="str">
            <v>$145,299,786</v>
          </cell>
          <cell r="BE70">
            <v>0</v>
          </cell>
          <cell r="BF70">
            <v>0</v>
          </cell>
          <cell r="BG70">
            <v>0</v>
          </cell>
          <cell r="BH70">
            <v>0</v>
          </cell>
          <cell r="BI70">
            <v>0</v>
          </cell>
          <cell r="BK70" t="str">
            <v>700,149,040</v>
          </cell>
          <cell r="BL70">
            <v>700847148</v>
          </cell>
          <cell r="BM70" t="str">
            <v/>
          </cell>
          <cell r="BO70" t="str">
            <v>Prestación de servicios profesionales especializados en diseño gráfico y dirección de arte; para apoyar la implementación de la Estrategia de Comunicaciones 2026 de la CRC; mediante la creación de piezas gráficas estáticas y animadas; la diagramación de materiales institucionales y la ejecución de acciones de comunicación interna; externa y digital; en coordinación con la Coordinación de Relaciones con Grupos de Valor.</v>
          </cell>
          <cell r="BP70" t="str">
            <v>345 Dia(s)</v>
          </cell>
          <cell r="BQ70" t="str">
            <v>No definido</v>
          </cell>
          <cell r="BR70" t="str">
            <v>No Definido</v>
          </cell>
          <cell r="BS70" t="str">
            <v>No definido</v>
          </cell>
          <cell r="BT70" t="str">
            <v>No</v>
          </cell>
          <cell r="BU70" t="str">
            <v/>
          </cell>
          <cell r="BV70" t="str">
            <v>Zoila Consuelo Vargas Mesa</v>
          </cell>
          <cell r="BW70" t="str">
            <v>Cédula de Ciudadanía</v>
          </cell>
          <cell r="BX70" t="str">
            <v>46360403</v>
          </cell>
          <cell r="BY70" t="str">
            <v>Mariana Sarmiento Arguello</v>
          </cell>
          <cell r="BZ70" t="str">
            <v>Cédula de Ciudadanía</v>
          </cell>
          <cell r="CA70" t="str">
            <v>52862292</v>
          </cell>
          <cell r="CB70" t="str">
            <v>Zoila Consuelo Vargas Mesa</v>
          </cell>
          <cell r="CC70" t="str">
            <v>Cédula de Ciudadanía</v>
          </cell>
          <cell r="CD70" t="str">
            <v>46360403</v>
          </cell>
          <cell r="CE70" t="str">
            <v>No</v>
          </cell>
          <cell r="CF70" t="str">
            <v>No definido</v>
          </cell>
          <cell r="CG70" t="str">
            <v>Calle 59 a Bis # 5 - 53 Piso 9 EDIFICIO LINK SIETE SESENTA
Bogotá
Distrito Capital de Bogotá
COLOMBIA</v>
          </cell>
          <cell r="CH70" t="str">
            <v>No definido</v>
          </cell>
          <cell r="CI70" t="str">
            <v>No definido</v>
          </cell>
          <cell r="CJ70" t="str">
            <v>No definido</v>
          </cell>
          <cell r="CK70" t="str">
            <v>No definido</v>
          </cell>
          <cell r="CL70" t="str">
            <v>No definido</v>
          </cell>
          <cell r="CM70" t="str">
            <v>No</v>
          </cell>
          <cell r="CN70" t="str">
            <v/>
          </cell>
          <cell r="CO70" t="str">
            <v/>
          </cell>
          <cell r="CP70" t="str">
            <v/>
          </cell>
          <cell r="CQ70" t="str">
            <v/>
          </cell>
        </row>
        <row r="71">
          <cell r="A71" t="str">
            <v>COMISIÓN DE REGULACIÓN DE COMUNICACIONES</v>
          </cell>
          <cell r="B71" t="str">
            <v>830,002,593</v>
          </cell>
          <cell r="C71" t="str">
            <v>Distrito Capital de Bogotá</v>
          </cell>
          <cell r="D71" t="str">
            <v>Bogotá</v>
          </cell>
          <cell r="E71" t="str">
            <v>Colombia, Bogotá,  Bogotá</v>
          </cell>
          <cell r="F71" t="str">
            <v>Nacional</v>
          </cell>
          <cell r="G71" t="str">
            <v>Tecnologías de la Información y las Comunicaciones</v>
          </cell>
          <cell r="H71" t="str">
            <v>Ejecutivo</v>
          </cell>
          <cell r="I71" t="str">
            <v>Centralizada</v>
          </cell>
          <cell r="J71" t="str">
            <v>CO1.BDOS.9320254</v>
          </cell>
          <cell r="K71" t="str">
            <v>CO1.PCCNTR.8920805</v>
          </cell>
          <cell r="L71" t="str">
            <v>CONTRATO 31 DE 2026</v>
          </cell>
          <cell r="M71" t="str">
            <v>En ejecución</v>
          </cell>
          <cell r="N71" t="str">
            <v>V1.81112106</v>
          </cell>
          <cell r="O71" t="str">
            <v>Contratar la suscripción a la plataforma MY CULLEN de 
CULLEN INTERNATIONAL S.A. para el monitoreo de tendencias y desarrollos regulatorios a nivel 
internacional en materia de servicios de telecomunicaciones; postales y contenidos audiovisuales.</v>
          </cell>
          <cell r="P71" t="str">
            <v>Otro</v>
          </cell>
          <cell r="Q71" t="str">
            <v>Contratación directa</v>
          </cell>
          <cell r="R71" t="str">
            <v>No existe pluralidad de oferentes en el mercado</v>
          </cell>
          <cell r="S71" t="str">
            <v>01/20/2026</v>
          </cell>
          <cell r="T71" t="str">
            <v>02/22/2026</v>
          </cell>
          <cell r="U71" t="str">
            <v>02/21/2027</v>
          </cell>
          <cell r="V71" t="str">
            <v>NXTWY.DLVY.6</v>
          </cell>
          <cell r="W71" t="str">
            <v>NIT</v>
          </cell>
          <cell r="X71" t="str">
            <v>0429199165</v>
          </cell>
          <cell r="Y71" t="str">
            <v>Cullen International</v>
          </cell>
          <cell r="Z71" t="str">
            <v>No</v>
          </cell>
          <cell r="AA71" t="str">
            <v>No</v>
          </cell>
          <cell r="AB71" t="str">
            <v>No</v>
          </cell>
          <cell r="AC71" t="str">
            <v>Si</v>
          </cell>
          <cell r="AD71" t="str">
            <v>No</v>
          </cell>
          <cell r="AE71" t="str">
            <v>No</v>
          </cell>
          <cell r="AF71" t="str">
            <v>No</v>
          </cell>
          <cell r="AG71" t="str">
            <v>Distribuido</v>
          </cell>
          <cell r="AH71" t="str">
            <v>Inversión</v>
          </cell>
          <cell r="AI71" t="str">
            <v>$615,230,000</v>
          </cell>
          <cell r="AJ71">
            <v>0</v>
          </cell>
          <cell r="AK71" t="str">
            <v>$615,230,000</v>
          </cell>
          <cell r="AL71" t="str">
            <v>$0</v>
          </cell>
          <cell r="AM71" t="str">
            <v>$615,230,000</v>
          </cell>
          <cell r="AN71">
            <v>0</v>
          </cell>
          <cell r="AO71">
            <v>0</v>
          </cell>
          <cell r="AP71" t="str">
            <v>$0</v>
          </cell>
          <cell r="AQ71" t="str">
            <v>$615,230,000</v>
          </cell>
          <cell r="AR71">
            <v>0</v>
          </cell>
          <cell r="AS71" t="str">
            <v>No</v>
          </cell>
          <cell r="AT71">
            <v>0</v>
          </cell>
          <cell r="AU71" t="str">
            <v>No aplica</v>
          </cell>
          <cell r="AV71" t="str">
            <v>No aplica</v>
          </cell>
          <cell r="AW71" t="str">
            <v>https://community.secop.gov.co/Public/Tendering/OpportunityDetail/Index?noticeUID=CO1.NTC.9553519&amp;isFromPublicArea=True&amp;isModal=true&amp;asPopupView=true</v>
          </cell>
          <cell r="AX71" t="str">
            <v>Valentina Grasso</v>
          </cell>
          <cell r="AY71" t="str">
            <v>BE</v>
          </cell>
          <cell r="AZ71" t="str">
            <v>No Definido</v>
          </cell>
          <cell r="BA71" t="str">
            <v>Sin Descripcion</v>
          </cell>
          <cell r="BB71" t="str">
            <v>Sin Descripcion</v>
          </cell>
          <cell r="BC71" t="str">
            <v>Hombre</v>
          </cell>
          <cell r="BD71" t="str">
            <v>$615,230,000</v>
          </cell>
          <cell r="BE71">
            <v>0</v>
          </cell>
          <cell r="BF71">
            <v>0</v>
          </cell>
          <cell r="BG71">
            <v>0</v>
          </cell>
          <cell r="BH71">
            <v>0</v>
          </cell>
          <cell r="BI71">
            <v>0</v>
          </cell>
          <cell r="BK71" t="str">
            <v>700,149,040</v>
          </cell>
          <cell r="BL71">
            <v>701878118</v>
          </cell>
          <cell r="BM71" t="str">
            <v>2027 Feb 22 12:00:00 AM</v>
          </cell>
          <cell r="BN71">
            <v>47170</v>
          </cell>
          <cell r="BO71" t="str">
            <v>Contratar la suscripción a la plataforma MY CULLEN de 
CULLEN INTERNATIONAL S.A. para el monitoreo de tendencias y desarrollos regulatorios a nivel 
internacional en materia de servicios de telecomunicaciones; postales y contenidos audiovisuales.</v>
          </cell>
          <cell r="BP71" t="str">
            <v>12 Mes(es)</v>
          </cell>
          <cell r="BQ71" t="str">
            <v>No definido</v>
          </cell>
          <cell r="BR71" t="str">
            <v>No Definido</v>
          </cell>
          <cell r="BS71" t="str">
            <v>No definido</v>
          </cell>
          <cell r="BT71" t="str">
            <v>No</v>
          </cell>
          <cell r="BU71" t="str">
            <v/>
          </cell>
          <cell r="BV71" t="str">
            <v>No definido</v>
          </cell>
          <cell r="BW71" t="str">
            <v>No definido</v>
          </cell>
          <cell r="BX71" t="str">
            <v>No definido</v>
          </cell>
          <cell r="BY71" t="str">
            <v>Miguel Andrés Durán Dajud</v>
          </cell>
          <cell r="BZ71" t="str">
            <v>Cédula de Ciudadanía</v>
          </cell>
          <cell r="CA71" t="str">
            <v>92541020</v>
          </cell>
          <cell r="CB71" t="str">
            <v>No definido</v>
          </cell>
          <cell r="CC71" t="str">
            <v>No definido</v>
          </cell>
          <cell r="CD71" t="str">
            <v>No definido</v>
          </cell>
          <cell r="CE71" t="str">
            <v>No</v>
          </cell>
          <cell r="CF71" t="str">
            <v>No definido</v>
          </cell>
          <cell r="CG71" t="str">
            <v>Calle 59 a Bis # 5 - 53 Piso 9 EDIFICIO LINK SIETE SESENTA
Bogotá
Distrito Capital de Bogotá
COLOMBIA</v>
          </cell>
          <cell r="CH71" t="str">
            <v>No definido</v>
          </cell>
          <cell r="CI71" t="str">
            <v>No definido</v>
          </cell>
          <cell r="CJ71" t="str">
            <v>No definido</v>
          </cell>
          <cell r="CK71" t="str">
            <v>No definido</v>
          </cell>
          <cell r="CL71" t="str">
            <v>No definido</v>
          </cell>
          <cell r="CM71" t="str">
            <v>No</v>
          </cell>
          <cell r="CN71" t="str">
            <v/>
          </cell>
          <cell r="CO71" t="str">
            <v/>
          </cell>
          <cell r="CP71" t="str">
            <v/>
          </cell>
          <cell r="CQ71" t="str">
            <v/>
          </cell>
        </row>
        <row r="72">
          <cell r="A72" t="str">
            <v>COMISIÓN DE REGULACIÓN DE COMUNICACIONES</v>
          </cell>
          <cell r="B72" t="str">
            <v>830,002,593</v>
          </cell>
          <cell r="C72" t="str">
            <v>Distrito Capital de Bogotá</v>
          </cell>
          <cell r="D72" t="str">
            <v>Bogotá</v>
          </cell>
          <cell r="E72" t="str">
            <v>Colombia, Bogotá,  Bogotá</v>
          </cell>
          <cell r="F72" t="str">
            <v>Nacional</v>
          </cell>
          <cell r="G72" t="str">
            <v>Tecnologías de la Información y las Comunicaciones</v>
          </cell>
          <cell r="H72" t="str">
            <v>Ejecutivo</v>
          </cell>
          <cell r="I72" t="str">
            <v>Centralizada</v>
          </cell>
          <cell r="J72" t="str">
            <v>CO1.BDOS.10075175</v>
          </cell>
          <cell r="K72" t="str">
            <v>CO1.PCCNTR.9538872</v>
          </cell>
          <cell r="L72" t="str">
            <v>CONTRATO 74 DE 2026</v>
          </cell>
          <cell r="M72" t="str">
            <v>En ejecución</v>
          </cell>
          <cell r="N72" t="str">
            <v>V1.80141501</v>
          </cell>
          <cell r="O72" t="str">
            <v>EL CONTRATISTA se obliga con LA COMISIÓN a prestar los servicios de consultoría para el diseño y la realización de ejercicios de sicología del consumidor y economía del comportamiento respecto a usuarios de los servicios de comunicaciones fijas y móviles; con el propósito de identificar sus motivaci</v>
          </cell>
          <cell r="P72" t="str">
            <v>Consultoría</v>
          </cell>
          <cell r="Q72" t="str">
            <v>Concurso de méritos abierto</v>
          </cell>
          <cell r="R72" t="str">
            <v>Ley 1150 de 2007</v>
          </cell>
          <cell r="S72" t="str">
            <v>06/01/2026</v>
          </cell>
          <cell r="T72" t="str">
            <v>06/04/2026</v>
          </cell>
          <cell r="U72" t="str">
            <v>11/03/2026</v>
          </cell>
          <cell r="V72" t="str">
            <v>NXTWY.DLVY.6</v>
          </cell>
          <cell r="W72" t="str">
            <v>NIT</v>
          </cell>
          <cell r="X72" t="str">
            <v>901359468</v>
          </cell>
          <cell r="Y72" t="str">
            <v>INFORMETRICS S.A.S</v>
          </cell>
          <cell r="Z72" t="str">
            <v>No</v>
          </cell>
          <cell r="AA72" t="str">
            <v>Si</v>
          </cell>
          <cell r="AB72" t="str">
            <v>No</v>
          </cell>
          <cell r="AC72" t="str">
            <v>Si</v>
          </cell>
          <cell r="AD72" t="str">
            <v>No</v>
          </cell>
          <cell r="AE72" t="str">
            <v>No</v>
          </cell>
          <cell r="AF72" t="str">
            <v>No</v>
          </cell>
          <cell r="AG72" t="str">
            <v>Distribuido</v>
          </cell>
          <cell r="AH72" t="str">
            <v>Inversión</v>
          </cell>
          <cell r="AI72" t="str">
            <v>$516,514,336</v>
          </cell>
          <cell r="AJ72">
            <v>0</v>
          </cell>
          <cell r="AK72" t="str">
            <v>$180,780,017.6</v>
          </cell>
          <cell r="AL72" t="str">
            <v>$335,734,318.4</v>
          </cell>
          <cell r="AM72" t="str">
            <v>$180,780,017.6</v>
          </cell>
          <cell r="AN72">
            <v>0</v>
          </cell>
          <cell r="AO72">
            <v>0</v>
          </cell>
          <cell r="AP72" t="str">
            <v>$335,734,318.4</v>
          </cell>
          <cell r="AQ72" t="str">
            <v>$516,514,336</v>
          </cell>
          <cell r="AR72">
            <v>0</v>
          </cell>
          <cell r="AS72" t="str">
            <v>No</v>
          </cell>
          <cell r="AT72">
            <v>0</v>
          </cell>
          <cell r="AU72" t="str">
            <v>No aplica</v>
          </cell>
          <cell r="AV72" t="str">
            <v>No aplica</v>
          </cell>
          <cell r="AW72" t="str">
            <v>https://community.secop.gov.co/Public/Tendering/OpportunityDetail/Index?noticeUID=CO1.NTC.10140964&amp;isFromPublicArea=True&amp;isModal=true&amp;asPopupView=true</v>
          </cell>
          <cell r="AX72" t="str">
            <v>Wilson Ferney Barreto Rodríguez</v>
          </cell>
          <cell r="AY72" t="str">
            <v>CO</v>
          </cell>
          <cell r="AZ72" t="str">
            <v>No Definido</v>
          </cell>
          <cell r="BA72" t="str">
            <v>Sin Descripcion</v>
          </cell>
          <cell r="BB72" t="str">
            <v>Sin Descripcion</v>
          </cell>
          <cell r="BC72" t="str">
            <v>Mujer</v>
          </cell>
          <cell r="BD72" t="str">
            <v>$516,514,336</v>
          </cell>
          <cell r="BE72">
            <v>0</v>
          </cell>
          <cell r="BF72">
            <v>0</v>
          </cell>
          <cell r="BG72">
            <v>0</v>
          </cell>
          <cell r="BH72">
            <v>0</v>
          </cell>
          <cell r="BI72">
            <v>0</v>
          </cell>
          <cell r="BK72" t="str">
            <v>700,149,040</v>
          </cell>
          <cell r="BL72">
            <v>709717961</v>
          </cell>
          <cell r="BM72" t="str">
            <v>2026 Nov 02 12:00:00 AM</v>
          </cell>
          <cell r="BN72">
            <v>47239</v>
          </cell>
          <cell r="BO72" t="str">
            <v>EL CONTRATISTA se obliga con LA COMISIÓN a prestar los servicios de consultoría para el diseño y la realización de ejercicios de sicología del consumidor y economía del comportamiento respecto a usuarios de los servicios de comunicaciones fijas y móviles; con el propósito de identificar sus motivaciones; percepciones y expectativas frente a diferentes aspectos relacionados con la decisión de compra; las condiciones de contratación de los servicios y la atención de los operadores por medio de ...</v>
          </cell>
          <cell r="BP72" t="str">
            <v>5 Mes(es)</v>
          </cell>
          <cell r="BQ72" t="str">
            <v>No definido</v>
          </cell>
          <cell r="BR72" t="str">
            <v>No Definido</v>
          </cell>
          <cell r="BS72" t="str">
            <v>No definido</v>
          </cell>
          <cell r="BT72" t="str">
            <v>No</v>
          </cell>
          <cell r="BU72" t="str">
            <v/>
          </cell>
          <cell r="BV72" t="str">
            <v>No definido</v>
          </cell>
          <cell r="BW72" t="str">
            <v>No definido</v>
          </cell>
          <cell r="BX72" t="str">
            <v>No definido</v>
          </cell>
          <cell r="BY72" t="str">
            <v>No definido</v>
          </cell>
          <cell r="BZ72" t="str">
            <v>No definido</v>
          </cell>
          <cell r="CA72" t="str">
            <v>No definido</v>
          </cell>
          <cell r="CB72" t="str">
            <v>No definido</v>
          </cell>
          <cell r="CC72" t="str">
            <v>No definido</v>
          </cell>
          <cell r="CD72" t="str">
            <v>No definido</v>
          </cell>
          <cell r="CE72" t="str">
            <v>No</v>
          </cell>
          <cell r="CF72" t="str">
            <v>No definido</v>
          </cell>
          <cell r="CG72" t="str">
            <v>Calle 59 a Bis # 5 - 53 Piso 9 EDIFICIO LINK SIETE SESENTA
Bogotá
Distrito Capital de Bogotá
COLOMBIA</v>
          </cell>
          <cell r="CH72" t="str">
            <v>No definido</v>
          </cell>
          <cell r="CI72" t="str">
            <v>No definido</v>
          </cell>
          <cell r="CJ72" t="str">
            <v>No definido</v>
          </cell>
          <cell r="CK72" t="str">
            <v>No definido</v>
          </cell>
          <cell r="CL72" t="str">
            <v>No definido</v>
          </cell>
          <cell r="CM72" t="str">
            <v>No</v>
          </cell>
          <cell r="CN72" t="str">
            <v/>
          </cell>
          <cell r="CO72" t="str">
            <v/>
          </cell>
          <cell r="CP72" t="str">
            <v/>
          </cell>
          <cell r="CQ72" t="str">
            <v/>
          </cell>
        </row>
        <row r="73">
          <cell r="A73" t="str">
            <v>COMISIÓN DE REGULACIÓN DE COMUNICACIONES</v>
          </cell>
          <cell r="B73" t="str">
            <v>830,002,593</v>
          </cell>
          <cell r="C73" t="str">
            <v>Distrito Capital de Bogotá</v>
          </cell>
          <cell r="D73" t="str">
            <v>Bogotá</v>
          </cell>
          <cell r="E73" t="str">
            <v>Colombia, Bogotá,  Bogotá</v>
          </cell>
          <cell r="F73" t="str">
            <v>Nacional</v>
          </cell>
          <cell r="G73" t="str">
            <v>Tecnologías de la Información y las Comunicaciones</v>
          </cell>
          <cell r="H73" t="str">
            <v>Ejecutivo</v>
          </cell>
          <cell r="I73" t="str">
            <v>Centralizada</v>
          </cell>
          <cell r="J73" t="str">
            <v>CO1.BDOS.10050786</v>
          </cell>
          <cell r="K73" t="str">
            <v>CO1.PCCNTR.9398507</v>
          </cell>
          <cell r="L73" t="str">
            <v>CONTRATO 65 DE 2026</v>
          </cell>
          <cell r="M73" t="str">
            <v>terminado</v>
          </cell>
          <cell r="N73" t="str">
            <v>V1.82111804</v>
          </cell>
          <cell r="O73" t="str">
            <v>Prestar los servicios de traducción oficial escrita del idioma inglés al español del informe Conectividad en un entorno digital en evolución: Revisión de Colombia y de sus componentes asociados (incluidos anexos; cuadros; figuras y demás contenidos que integren el documento); elaborado por la Orga</v>
          </cell>
          <cell r="P73" t="str">
            <v>Prestación de servicios</v>
          </cell>
          <cell r="Q73" t="str">
            <v>Mínima cuantía</v>
          </cell>
          <cell r="R73" t="str">
            <v>Presupuesto inferior al 10% de la menor cuantía</v>
          </cell>
          <cell r="S73" t="str">
            <v>03/16/2026</v>
          </cell>
          <cell r="T73" t="str">
            <v>03/17/2026</v>
          </cell>
          <cell r="U73" t="str">
            <v>04/16/2026</v>
          </cell>
          <cell r="V73" t="str">
            <v>NXTWY.DLVY.6</v>
          </cell>
          <cell r="W73" t="str">
            <v>NIT</v>
          </cell>
          <cell r="X73" t="str">
            <v>900192835</v>
          </cell>
          <cell r="Y73" t="str">
            <v>Pantoglot Ltda.</v>
          </cell>
          <cell r="Z73" t="str">
            <v>No</v>
          </cell>
          <cell r="AA73" t="str">
            <v>Si</v>
          </cell>
          <cell r="AB73" t="str">
            <v>No</v>
          </cell>
          <cell r="AC73" t="str">
            <v>Si</v>
          </cell>
          <cell r="AD73" t="str">
            <v>No</v>
          </cell>
          <cell r="AE73" t="str">
            <v>No</v>
          </cell>
          <cell r="AF73" t="str">
            <v>No</v>
          </cell>
          <cell r="AG73" t="str">
            <v>Distribuido</v>
          </cell>
          <cell r="AH73" t="str">
            <v>Inversión</v>
          </cell>
          <cell r="AI73" t="str">
            <v>$11,312,256</v>
          </cell>
          <cell r="AJ73">
            <v>0</v>
          </cell>
          <cell r="AK73" t="str">
            <v>$11,312,256</v>
          </cell>
          <cell r="AL73" t="str">
            <v>$0</v>
          </cell>
          <cell r="AM73" t="str">
            <v>$11,312,256</v>
          </cell>
          <cell r="AN73">
            <v>0</v>
          </cell>
          <cell r="AO73">
            <v>0</v>
          </cell>
          <cell r="AP73" t="str">
            <v>$0</v>
          </cell>
          <cell r="AQ73" t="str">
            <v>$20,496,000</v>
          </cell>
          <cell r="AR73">
            <v>0</v>
          </cell>
          <cell r="AS73" t="str">
            <v>No</v>
          </cell>
          <cell r="AT73">
            <v>0</v>
          </cell>
          <cell r="AU73" t="str">
            <v>No aplica</v>
          </cell>
          <cell r="AV73" t="str">
            <v>No aplica</v>
          </cell>
          <cell r="AW73" t="str">
            <v>https://community.secop.gov.co/Public/Tendering/OpportunityDetail/Index?noticeUID=CO1.NTC.10077458&amp;isFromPublicArea=True&amp;isModal=true&amp;asPopupView=true</v>
          </cell>
          <cell r="AX73" t="str">
            <v>Jesús Yoel Rivero Quintana</v>
          </cell>
          <cell r="AY73" t="str">
            <v>CO</v>
          </cell>
          <cell r="AZ73" t="str">
            <v>Calle 60A # 5-54</v>
          </cell>
          <cell r="BA73" t="str">
            <v>Sin Descripcion</v>
          </cell>
          <cell r="BB73" t="str">
            <v>Sin Descripcion</v>
          </cell>
          <cell r="BC73" t="str">
            <v>Hombre</v>
          </cell>
          <cell r="BD73" t="str">
            <v>$11,312,256</v>
          </cell>
          <cell r="BE73">
            <v>0</v>
          </cell>
          <cell r="BF73">
            <v>0</v>
          </cell>
          <cell r="BG73">
            <v>0</v>
          </cell>
          <cell r="BH73">
            <v>0</v>
          </cell>
          <cell r="BI73">
            <v>0</v>
          </cell>
          <cell r="BJ73">
            <v>46303</v>
          </cell>
          <cell r="BK73" t="str">
            <v>700,149,040</v>
          </cell>
          <cell r="BL73">
            <v>700680168</v>
          </cell>
          <cell r="BM73" t="str">
            <v>2026 Apr 20 12:00:00 AM</v>
          </cell>
          <cell r="BN73">
            <v>47603</v>
          </cell>
          <cell r="BO73" t="str">
            <v>Prestar los servicios de traducción oficial escrita del idioma inglés al español del informe Conectividad en un entorno digital en evolución: Revisión de Colombia y de sus componentes asociados (incluidos anexos; cuadros; figuras y demás contenidos que integren el documento); elaborado por la Organización para la Cooperación y el Desarrollo Económicos (OCDE) a solicitud de la Comisión de Regulación de Comunicaciones (CRC); garantizando fidelidad terminológica; coherencia y consistencia técnica</v>
          </cell>
          <cell r="BP73" t="str">
            <v>30 Dia(s)</v>
          </cell>
          <cell r="BQ73" t="str">
            <v>No definido</v>
          </cell>
          <cell r="BR73" t="str">
            <v>No Definido</v>
          </cell>
          <cell r="BS73" t="str">
            <v>No definido</v>
          </cell>
          <cell r="BT73" t="str">
            <v>No</v>
          </cell>
          <cell r="BU73" t="str">
            <v/>
          </cell>
          <cell r="BV73" t="str">
            <v>No definido</v>
          </cell>
          <cell r="BW73" t="str">
            <v>No definido</v>
          </cell>
          <cell r="BX73" t="str">
            <v>No definido</v>
          </cell>
          <cell r="BY73" t="str">
            <v>No definido</v>
          </cell>
          <cell r="BZ73" t="str">
            <v>No definido</v>
          </cell>
          <cell r="CA73" t="str">
            <v>No definido</v>
          </cell>
          <cell r="CB73" t="str">
            <v>No definido</v>
          </cell>
          <cell r="CC73" t="str">
            <v>No definido</v>
          </cell>
          <cell r="CD73" t="str">
            <v>No definido</v>
          </cell>
          <cell r="CE73" t="str">
            <v>No</v>
          </cell>
          <cell r="CF73" t="str">
            <v>No definido</v>
          </cell>
          <cell r="CG73" t="str">
            <v>Calle 59 a Bis # 5 - 53 Piso 9 EDIFICIO LINK SIETE SESENTA
Bogotá
Distrito Capital de Bogotá
COLOMBIA</v>
          </cell>
          <cell r="CH73" t="str">
            <v>No definido</v>
          </cell>
          <cell r="CI73" t="str">
            <v>No definido</v>
          </cell>
          <cell r="CJ73" t="str">
            <v>No definido</v>
          </cell>
          <cell r="CK73" t="str">
            <v>No definido</v>
          </cell>
          <cell r="CL73" t="str">
            <v>No definido</v>
          </cell>
          <cell r="CM73" t="str">
            <v>No</v>
          </cell>
          <cell r="CN73" t="str">
            <v/>
          </cell>
          <cell r="CO73" t="str">
            <v/>
          </cell>
          <cell r="CP73" t="str">
            <v/>
          </cell>
          <cell r="CQ73" t="str">
            <v/>
          </cell>
        </row>
        <row r="74">
          <cell r="A74" t="str">
            <v>COMISIÓN DE REGULACIÓN DE COMUNICACIONES</v>
          </cell>
          <cell r="B74" t="str">
            <v>830,002,593</v>
          </cell>
          <cell r="C74" t="str">
            <v>Distrito Capital de Bogotá</v>
          </cell>
          <cell r="D74" t="str">
            <v>Bogotá</v>
          </cell>
          <cell r="E74" t="str">
            <v>Colombia, Bogotá,  Bogotá</v>
          </cell>
          <cell r="F74" t="str">
            <v>Nacional</v>
          </cell>
          <cell r="G74" t="str">
            <v>Tecnologías de la Información y las Comunicaciones</v>
          </cell>
          <cell r="H74" t="str">
            <v>Ejecutivo</v>
          </cell>
          <cell r="I74" t="str">
            <v>Centralizada</v>
          </cell>
          <cell r="J74" t="str">
            <v>CO1.BDOS.10073212</v>
          </cell>
          <cell r="K74" t="str">
            <v>CO1.PCCNTR.9408437</v>
          </cell>
          <cell r="L74" t="str">
            <v>CONTRATO 66 DE 2026</v>
          </cell>
          <cell r="M74" t="str">
            <v>En ejecución</v>
          </cell>
          <cell r="N74" t="str">
            <v>V1.72151514</v>
          </cell>
          <cell r="O74" t="str">
            <v>Prestación del servicio de mantenimiento preventivo y correctivo; incluido mano de obra calificada y suministro de repuestos a todo costo originales nuevos; para la transferencia eléctrica automática de propiedad de la Comisión de Regulación de Comunicaciones; de conformidad con la Invitación Públic</v>
          </cell>
          <cell r="P74" t="str">
            <v>Prestación de servicios</v>
          </cell>
          <cell r="Q74" t="str">
            <v>Mínima cuantía</v>
          </cell>
          <cell r="R74" t="str">
            <v>Presupuesto inferior al 10% de la menor cuantía</v>
          </cell>
          <cell r="S74" t="str">
            <v>03/24/2026</v>
          </cell>
          <cell r="T74" t="str">
            <v>04/06/2026</v>
          </cell>
          <cell r="U74" t="str">
            <v>05/05/2026</v>
          </cell>
          <cell r="V74" t="str">
            <v>No Definido</v>
          </cell>
          <cell r="W74" t="str">
            <v>NIT</v>
          </cell>
          <cell r="X74" t="str">
            <v>900810365</v>
          </cell>
          <cell r="Y74" t="str">
            <v>jvale ingenieria</v>
          </cell>
          <cell r="Z74" t="str">
            <v>No</v>
          </cell>
          <cell r="AA74" t="str">
            <v>Si</v>
          </cell>
          <cell r="AB74" t="str">
            <v>No</v>
          </cell>
          <cell r="AC74" t="str">
            <v>Si</v>
          </cell>
          <cell r="AD74" t="str">
            <v>No</v>
          </cell>
          <cell r="AE74" t="str">
            <v>No</v>
          </cell>
          <cell r="AF74" t="str">
            <v>No</v>
          </cell>
          <cell r="AG74" t="str">
            <v>Distribuido</v>
          </cell>
          <cell r="AH74" t="str">
            <v>Funcionamiento</v>
          </cell>
          <cell r="AI74" t="str">
            <v>$1,240,000</v>
          </cell>
          <cell r="AJ74">
            <v>0</v>
          </cell>
          <cell r="AK74" t="str">
            <v>$1,240,000</v>
          </cell>
          <cell r="AL74" t="str">
            <v>$0</v>
          </cell>
          <cell r="AM74" t="str">
            <v>$1,240,000</v>
          </cell>
          <cell r="AN74">
            <v>0</v>
          </cell>
          <cell r="AO74">
            <v>0</v>
          </cell>
          <cell r="AP74" t="str">
            <v>$0</v>
          </cell>
          <cell r="AQ74" t="str">
            <v>$1,590,241</v>
          </cell>
          <cell r="AR74">
            <v>0</v>
          </cell>
          <cell r="AS74" t="str">
            <v>No</v>
          </cell>
          <cell r="AT74">
            <v>0</v>
          </cell>
          <cell r="AU74" t="str">
            <v>No aplica</v>
          </cell>
          <cell r="AV74" t="str">
            <v>No aplica</v>
          </cell>
          <cell r="AW74" t="str">
            <v>https://community.secop.gov.co/Public/Tendering/OpportunityDetail/Index?noticeUID=CO1.NTC.10099755&amp;isFromPublicArea=True&amp;isModal=true&amp;asPopupView=true</v>
          </cell>
          <cell r="AX74" t="str">
            <v>jvale ingenieria sas jvale ingenieria sas</v>
          </cell>
          <cell r="AY74" t="str">
            <v>CO</v>
          </cell>
          <cell r="AZ74" t="str">
            <v>No Definido</v>
          </cell>
          <cell r="BA74" t="str">
            <v>Sin Descripcion</v>
          </cell>
          <cell r="BB74" t="str">
            <v>Sin Descripcion</v>
          </cell>
          <cell r="BC74" t="str">
            <v>Mujer</v>
          </cell>
          <cell r="BD74" t="str">
            <v>$1,240,000</v>
          </cell>
          <cell r="BE74">
            <v>0</v>
          </cell>
          <cell r="BF74">
            <v>0</v>
          </cell>
          <cell r="BG74">
            <v>0</v>
          </cell>
          <cell r="BH74">
            <v>0</v>
          </cell>
          <cell r="BI74">
            <v>0</v>
          </cell>
          <cell r="BK74" t="str">
            <v>700,149,040</v>
          </cell>
          <cell r="BL74">
            <v>720603042</v>
          </cell>
          <cell r="BM74" t="str">
            <v>2026 Apr 25 12:00:00 AM</v>
          </cell>
          <cell r="BN74">
            <v>47355</v>
          </cell>
          <cell r="BO74" t="str">
            <v>Prestación del servicio de mantenimiento preventivo y correctivo; incluido mano de obra calificada y suministro de repuestos a todo costo originales nuevos; para la transferencia eléctrica automática de propiedad de la Comisión de Regulación de Comunicaciones; de conformidad con la Invitación Pública No. 68 de 2026 y la oferta presentada por el contratista que forman parte integral del presente contrato</v>
          </cell>
          <cell r="BP74" t="str">
            <v>1 Mes(es)</v>
          </cell>
          <cell r="BQ74" t="str">
            <v>No definido</v>
          </cell>
          <cell r="BR74" t="str">
            <v>No Definido</v>
          </cell>
          <cell r="BS74" t="str">
            <v>No definido</v>
          </cell>
          <cell r="BT74" t="str">
            <v>No</v>
          </cell>
          <cell r="BU74" t="str">
            <v/>
          </cell>
          <cell r="BV74" t="str">
            <v>No definido</v>
          </cell>
          <cell r="BW74" t="str">
            <v>No definido</v>
          </cell>
          <cell r="BX74" t="str">
            <v>No definido</v>
          </cell>
          <cell r="BY74" t="str">
            <v>Luis Jorge Guevara Suarez</v>
          </cell>
          <cell r="BZ74" t="str">
            <v>Cédula de Ciudadanía</v>
          </cell>
          <cell r="CA74" t="str">
            <v>servidores y contrat</v>
          </cell>
          <cell r="CB74" t="str">
            <v>DIANA WILCHES</v>
          </cell>
          <cell r="CC74" t="str">
            <v>Cédula de Ciudadanía</v>
          </cell>
          <cell r="CD74" t="str">
            <v>40049758</v>
          </cell>
          <cell r="CE74" t="str">
            <v>No</v>
          </cell>
          <cell r="CF74" t="str">
            <v>No definido</v>
          </cell>
          <cell r="CG74" t="str">
            <v>Calle 59 a Bis # 5 - 53 Piso 9 EDIFICIO LINK SIETE SESENTA
Bogotá
Distrito Capital de Bogotá
COLOMBIA</v>
          </cell>
          <cell r="CH74" t="str">
            <v>No definido</v>
          </cell>
          <cell r="CI74" t="str">
            <v>No definido</v>
          </cell>
          <cell r="CJ74" t="str">
            <v>No definido</v>
          </cell>
          <cell r="CK74" t="str">
            <v>No definido</v>
          </cell>
          <cell r="CL74" t="str">
            <v>No definido</v>
          </cell>
          <cell r="CM74" t="str">
            <v>No</v>
          </cell>
          <cell r="CN74" t="str">
            <v/>
          </cell>
          <cell r="CO74" t="str">
            <v/>
          </cell>
          <cell r="CP74" t="str">
            <v/>
          </cell>
          <cell r="CQ74" t="str">
            <v/>
          </cell>
        </row>
        <row r="75">
          <cell r="A75" t="str">
            <v>COMISIÓN DE REGULACIÓN DE COMUNICACIONES</v>
          </cell>
          <cell r="B75" t="str">
            <v>830,002,593</v>
          </cell>
          <cell r="C75" t="str">
            <v>Distrito Capital de Bogotá</v>
          </cell>
          <cell r="D75" t="str">
            <v>Bogotá</v>
          </cell>
          <cell r="E75" t="str">
            <v>Colombia, Bogotá,  Bogotá</v>
          </cell>
          <cell r="F75" t="str">
            <v>Nacional</v>
          </cell>
          <cell r="G75" t="str">
            <v>Tecnologías de la Información y las Comunicaciones</v>
          </cell>
          <cell r="H75" t="str">
            <v>Ejecutivo</v>
          </cell>
          <cell r="I75" t="str">
            <v>Centralizada</v>
          </cell>
          <cell r="J75" t="str">
            <v>CO1.BDOS.9328868</v>
          </cell>
          <cell r="K75" t="str">
            <v>CO1.PCCNTR.8902785</v>
          </cell>
          <cell r="L75" t="str">
            <v>CONTRATO 45 DE 2026</v>
          </cell>
          <cell r="M75" t="str">
            <v>En ejecución</v>
          </cell>
          <cell r="N75" t="str">
            <v>V1.80121601</v>
          </cell>
          <cell r="O75" t="str">
            <v>Prestar servicios profesionales altamente especializados en el área del derecho de las telecomunicaciones; la regulación económica y el derecho de la competencia; tendiente a apoyar a la Comisión de Regulación de Comunicaciones CRC en el análisis; desarrollo y fortalecimiento de sus estrategias jurí</v>
          </cell>
          <cell r="P75" t="str">
            <v>Prestación de servicios</v>
          </cell>
          <cell r="Q75" t="str">
            <v>Contratación directa</v>
          </cell>
          <cell r="R75" t="str">
            <v>Servicios profesionales y apoyo a la gestión</v>
          </cell>
          <cell r="S75" t="str">
            <v>01/16/2026</v>
          </cell>
          <cell r="T75" t="str">
            <v>01/21/2026</v>
          </cell>
          <cell r="U75" t="str">
            <v>12/31/2026</v>
          </cell>
          <cell r="V75" t="str">
            <v>NXTWY.DLVY.6</v>
          </cell>
          <cell r="W75" t="str">
            <v>Cédula de Ciudadanía</v>
          </cell>
          <cell r="X75" t="str">
            <v>75077160</v>
          </cell>
          <cell r="Y75" t="str">
            <v>CAMILO VALENCIA SUESCUN</v>
          </cell>
          <cell r="Z75" t="str">
            <v>No</v>
          </cell>
          <cell r="AA75" t="str">
            <v>No</v>
          </cell>
          <cell r="AB75" t="str">
            <v>No</v>
          </cell>
          <cell r="AC75" t="str">
            <v>No</v>
          </cell>
          <cell r="AD75" t="str">
            <v>No</v>
          </cell>
          <cell r="AE75" t="str">
            <v>No</v>
          </cell>
          <cell r="AF75" t="str">
            <v>No</v>
          </cell>
          <cell r="AG75" t="str">
            <v>Distribuido</v>
          </cell>
          <cell r="AH75" t="str">
            <v>Inversión</v>
          </cell>
          <cell r="AI75" t="str">
            <v>$487,143,000</v>
          </cell>
          <cell r="AJ75">
            <v>0</v>
          </cell>
          <cell r="AK75" t="str">
            <v>$297,282,559</v>
          </cell>
          <cell r="AL75" t="str">
            <v>$335,104,496</v>
          </cell>
          <cell r="AM75" t="str">
            <v>$152,038,504</v>
          </cell>
          <cell r="AN75">
            <v>0</v>
          </cell>
          <cell r="AO75">
            <v>0</v>
          </cell>
          <cell r="AP75" t="str">
            <v>$335,104,496</v>
          </cell>
          <cell r="AQ75" t="str">
            <v>$487,143,000</v>
          </cell>
          <cell r="AR75">
            <v>0</v>
          </cell>
          <cell r="AS75" t="str">
            <v>No</v>
          </cell>
          <cell r="AT75">
            <v>0</v>
          </cell>
          <cell r="AU75" t="str">
            <v>No aplica</v>
          </cell>
          <cell r="AV75" t="str">
            <v>No aplica</v>
          </cell>
          <cell r="AW75" t="str">
            <v>https://community.secop.gov.co/Public/Tendering/OpportunityDetail/Index?noticeUID=CO1.NTC.9535851&amp;isFromPublicArea=True&amp;isModal=true&amp;asPopupView=true</v>
          </cell>
          <cell r="AX75" t="str">
            <v>CAMILO VALENCIA</v>
          </cell>
          <cell r="AY75" t="str">
            <v>CO</v>
          </cell>
          <cell r="AZ75" t="str">
            <v>No Definido</v>
          </cell>
          <cell r="BA75" t="str">
            <v>Cédula de Ciudadanía</v>
          </cell>
          <cell r="BB75" t="str">
            <v>75077160</v>
          </cell>
          <cell r="BC75" t="str">
            <v>Hombre</v>
          </cell>
          <cell r="BD75" t="str">
            <v>$487,143,000</v>
          </cell>
          <cell r="BE75">
            <v>0</v>
          </cell>
          <cell r="BF75">
            <v>0</v>
          </cell>
          <cell r="BG75">
            <v>0</v>
          </cell>
          <cell r="BH75">
            <v>0</v>
          </cell>
          <cell r="BI75">
            <v>0</v>
          </cell>
          <cell r="BK75" t="str">
            <v>700,149,040</v>
          </cell>
          <cell r="BL75">
            <v>701065062</v>
          </cell>
          <cell r="BM75" t="str">
            <v/>
          </cell>
          <cell r="BO75" t="str">
            <v>Prestar servicios profesionales altamente especializados en el área del derecho de las telecomunicaciones; la regulación económica y el derecho de la competencia; tendiente a apoyar a la Comisión de Regulación de Comunicaciones CRC en el análisis; desarrollo y fortalecimiento de sus estrategias jurídicas y regulatorias</v>
          </cell>
          <cell r="BP75" t="str">
            <v>345 Dia(s)</v>
          </cell>
          <cell r="BQ75" t="str">
            <v>No definido</v>
          </cell>
          <cell r="BR75" t="str">
            <v>No Definido</v>
          </cell>
          <cell r="BS75" t="str">
            <v>No definido</v>
          </cell>
          <cell r="BT75" t="str">
            <v>No</v>
          </cell>
          <cell r="BU75" t="str">
            <v/>
          </cell>
          <cell r="BV75" t="str">
            <v>No definido</v>
          </cell>
          <cell r="BW75" t="str">
            <v>No definido</v>
          </cell>
          <cell r="BX75" t="str">
            <v>No definido</v>
          </cell>
          <cell r="BY75" t="str">
            <v>No definido</v>
          </cell>
          <cell r="BZ75" t="str">
            <v>No definido</v>
          </cell>
          <cell r="CA75" t="str">
            <v>No definido</v>
          </cell>
          <cell r="CB75" t="str">
            <v>No definido</v>
          </cell>
          <cell r="CC75" t="str">
            <v>No definido</v>
          </cell>
          <cell r="CD75" t="str">
            <v>No definido</v>
          </cell>
          <cell r="CE75" t="str">
            <v>No</v>
          </cell>
          <cell r="CF75" t="str">
            <v>No definido</v>
          </cell>
          <cell r="CG75" t="str">
            <v>Calle 59 a Bis # 5 - 53 Piso 9 EDIFICIO LINK SIETE SESENTA
Bogotá
Distrito Capital de Bogotá
COLOMBIA</v>
          </cell>
          <cell r="CH75" t="str">
            <v>No definido</v>
          </cell>
          <cell r="CI75" t="str">
            <v>No definido</v>
          </cell>
          <cell r="CJ75" t="str">
            <v>No definido</v>
          </cell>
          <cell r="CK75" t="str">
            <v>No definido</v>
          </cell>
          <cell r="CL75" t="str">
            <v>No definido</v>
          </cell>
          <cell r="CM75" t="str">
            <v>No</v>
          </cell>
          <cell r="CN75" t="str">
            <v/>
          </cell>
          <cell r="CO75" t="str">
            <v/>
          </cell>
          <cell r="CP75" t="str">
            <v/>
          </cell>
          <cell r="CQ75" t="str">
            <v/>
          </cell>
        </row>
        <row r="76">
          <cell r="A76" t="str">
            <v>COMISIÓN DE REGULACIÓN DE COMUNICACIONES</v>
          </cell>
          <cell r="B76" t="str">
            <v>830,002,593</v>
          </cell>
          <cell r="C76" t="str">
            <v>Distrito Capital de Bogotá</v>
          </cell>
          <cell r="D76" t="str">
            <v>Bogotá</v>
          </cell>
          <cell r="E76" t="str">
            <v>Colombia, Bogotá,  Bogotá</v>
          </cell>
          <cell r="F76" t="str">
            <v>Nacional</v>
          </cell>
          <cell r="G76" t="str">
            <v>Tecnologías de la Información y las Comunicaciones</v>
          </cell>
          <cell r="H76" t="str">
            <v>Ejecutivo</v>
          </cell>
          <cell r="I76" t="str">
            <v>Centralizada</v>
          </cell>
          <cell r="J76" t="str">
            <v>CO1.BDOS.9552408</v>
          </cell>
          <cell r="K76" t="str">
            <v>CO1.PCCNTR.8977700</v>
          </cell>
          <cell r="L76" t="str">
            <v>CONTRATO 49 DE 2026</v>
          </cell>
          <cell r="M76" t="str">
            <v>En ejecución</v>
          </cell>
          <cell r="N76" t="str">
            <v>V1.81111806</v>
          </cell>
          <cell r="O76" t="str">
            <v>Brindar apoyo profesional para observar; analizar y evaluar contenidos audiovisuales con el fin de generar informes y reportes sobre el cumplimiento de los lineamientos legales y reglamentarios de dichos contenidos respecto del pluralismo e imparcialidad informativos; en el marco de los proyectos co</v>
          </cell>
          <cell r="P76" t="str">
            <v>Prestación de servicios</v>
          </cell>
          <cell r="Q76" t="str">
            <v>Contratación directa</v>
          </cell>
          <cell r="R76" t="str">
            <v>Servicios profesionales y apoyo a la gestión</v>
          </cell>
          <cell r="S76" t="str">
            <v>01/19/2026</v>
          </cell>
          <cell r="T76" t="str">
            <v>01/26/2026</v>
          </cell>
          <cell r="U76" t="str">
            <v>11/25/2026</v>
          </cell>
          <cell r="V76" t="str">
            <v>NXTWY.DLVY.6</v>
          </cell>
          <cell r="W76" t="str">
            <v>Cédula de Ciudadanía</v>
          </cell>
          <cell r="X76" t="str">
            <v>1016064963</v>
          </cell>
          <cell r="Y76" t="str">
            <v>Darly Diaz</v>
          </cell>
          <cell r="Z76" t="str">
            <v>No</v>
          </cell>
          <cell r="AA76" t="str">
            <v>No</v>
          </cell>
          <cell r="AB76" t="str">
            <v>No</v>
          </cell>
          <cell r="AC76" t="str">
            <v>No</v>
          </cell>
          <cell r="AD76" t="str">
            <v>No</v>
          </cell>
          <cell r="AE76" t="str">
            <v>No</v>
          </cell>
          <cell r="AF76" t="str">
            <v>No</v>
          </cell>
          <cell r="AG76" t="str">
            <v>Distribuido</v>
          </cell>
          <cell r="AH76" t="str">
            <v>Inversión</v>
          </cell>
          <cell r="AI76" t="str">
            <v>$40,000,000</v>
          </cell>
          <cell r="AJ76">
            <v>0</v>
          </cell>
          <cell r="AK76" t="str">
            <v>$32,000,000</v>
          </cell>
          <cell r="AL76" t="str">
            <v>$8,000,000</v>
          </cell>
          <cell r="AM76" t="str">
            <v>$32,000,000</v>
          </cell>
          <cell r="AN76">
            <v>0</v>
          </cell>
          <cell r="AO76">
            <v>0</v>
          </cell>
          <cell r="AP76" t="str">
            <v>$8,000,000</v>
          </cell>
          <cell r="AQ76" t="str">
            <v>$40,000,000</v>
          </cell>
          <cell r="AR76">
            <v>0</v>
          </cell>
          <cell r="AS76" t="str">
            <v>No</v>
          </cell>
          <cell r="AT76">
            <v>0</v>
          </cell>
          <cell r="AU76" t="str">
            <v>No aplica</v>
          </cell>
          <cell r="AV76" t="str">
            <v>No aplica</v>
          </cell>
          <cell r="AW76" t="str">
            <v>https://community.secop.gov.co/Public/Tendering/OpportunityDetail/Index?noticeUID=CO1.NTC.9608631&amp;isFromPublicArea=True&amp;isModal=true&amp;asPopupView=true</v>
          </cell>
          <cell r="AX76" t="str">
            <v>Darly Zuley Diaz Latorre</v>
          </cell>
          <cell r="AY76" t="str">
            <v>CO</v>
          </cell>
          <cell r="AZ76" t="str">
            <v>No Definido</v>
          </cell>
          <cell r="BA76" t="str">
            <v>Cédula de Ciudadanía</v>
          </cell>
          <cell r="BB76" t="str">
            <v>1016064963</v>
          </cell>
          <cell r="BC76" t="str">
            <v>Mujer</v>
          </cell>
          <cell r="BD76" t="str">
            <v>$40,000,000</v>
          </cell>
          <cell r="BE76">
            <v>0</v>
          </cell>
          <cell r="BF76">
            <v>0</v>
          </cell>
          <cell r="BG76">
            <v>0</v>
          </cell>
          <cell r="BH76">
            <v>0</v>
          </cell>
          <cell r="BI76">
            <v>0</v>
          </cell>
          <cell r="BK76" t="str">
            <v>700,149,040</v>
          </cell>
          <cell r="BL76">
            <v>725982417</v>
          </cell>
          <cell r="BM76" t="str">
            <v/>
          </cell>
          <cell r="BO76" t="str">
            <v>Brindar apoyo profesional para observar; analizar y evaluar contenidos audiovisuales con el fin de generar informes y reportes sobre el cumplimiento de los lineamientos legales y reglamentarios de dichos contenidos respecto del pluralismo e imparcialidad informativos; en el marco de los proyectos contemplados dentro de la Agenda Regulatoria y el Plan de Acción 2026.</v>
          </cell>
          <cell r="BP76" t="str">
            <v>10 Mes(es)</v>
          </cell>
          <cell r="BQ76" t="str">
            <v>No definido</v>
          </cell>
          <cell r="BR76" t="str">
            <v>No Definido</v>
          </cell>
          <cell r="BS76" t="str">
            <v>No definido</v>
          </cell>
          <cell r="BT76" t="str">
            <v>No</v>
          </cell>
          <cell r="BU76" t="str">
            <v/>
          </cell>
          <cell r="BV76" t="str">
            <v>No definido</v>
          </cell>
          <cell r="BW76" t="str">
            <v>No definido</v>
          </cell>
          <cell r="BX76" t="str">
            <v>No definido</v>
          </cell>
          <cell r="BY76" t="str">
            <v>Ricardo Ramirez Hernandez</v>
          </cell>
          <cell r="BZ76" t="str">
            <v>Cédula de Ciudadanía</v>
          </cell>
          <cell r="CA76" t="str">
            <v>79444533</v>
          </cell>
          <cell r="CB76" t="str">
            <v>No definido</v>
          </cell>
          <cell r="CC76" t="str">
            <v>No definido</v>
          </cell>
          <cell r="CD76" t="str">
            <v>No definido</v>
          </cell>
          <cell r="CE76" t="str">
            <v>No</v>
          </cell>
          <cell r="CF76" t="str">
            <v>No definido</v>
          </cell>
          <cell r="CG76" t="str">
            <v>Calle 59 a Bis # 5 - 53 Piso 9 EDIFICIO LINK SIETE SESENTA
Bogotá
Distrito Capital de Bogotá
COLOMBIA</v>
          </cell>
          <cell r="CH76" t="str">
            <v>No definido</v>
          </cell>
          <cell r="CI76" t="str">
            <v>No definido</v>
          </cell>
          <cell r="CJ76" t="str">
            <v>No definido</v>
          </cell>
          <cell r="CK76" t="str">
            <v>No definido</v>
          </cell>
          <cell r="CL76" t="str">
            <v>No definido</v>
          </cell>
          <cell r="CM76" t="str">
            <v>No</v>
          </cell>
          <cell r="CN76" t="str">
            <v/>
          </cell>
          <cell r="CO76" t="str">
            <v/>
          </cell>
          <cell r="CP76" t="str">
            <v/>
          </cell>
          <cell r="CQ76" t="str">
            <v/>
          </cell>
        </row>
        <row r="77">
          <cell r="A77" t="str">
            <v>COMISIÓN DE REGULACIÓN DE COMUNICACIONES</v>
          </cell>
          <cell r="B77" t="str">
            <v>830,002,593</v>
          </cell>
          <cell r="C77" t="str">
            <v>Distrito Capital de Bogotá</v>
          </cell>
          <cell r="D77" t="str">
            <v>Bogotá</v>
          </cell>
          <cell r="E77" t="str">
            <v>Colombia, Bogotá,  Bogotá</v>
          </cell>
          <cell r="F77" t="str">
            <v>Nacional</v>
          </cell>
          <cell r="G77" t="str">
            <v>Tecnologías de la Información y las Comunicaciones</v>
          </cell>
          <cell r="H77" t="str">
            <v>Ejecutivo</v>
          </cell>
          <cell r="I77" t="str">
            <v>Centralizada</v>
          </cell>
          <cell r="J77" t="str">
            <v>CO1.BDOS.10548054</v>
          </cell>
          <cell r="K77" t="str">
            <v>CO1.PCCNTR.9854884</v>
          </cell>
          <cell r="L77" t="str">
            <v>CONTRATO 93 DE 2026</v>
          </cell>
          <cell r="M77" t="str">
            <v>En ejecución</v>
          </cell>
          <cell r="N77" t="str">
            <v>V1.26111702</v>
          </cell>
          <cell r="O77" t="str">
            <v>Suministro de elementos de papelería; Cartuchos; tóner de impresión y otros artículos de oficina; para el normal funcionamiento de la Comisión de Regulación de ComunicacionesCRC</v>
          </cell>
          <cell r="P77" t="str">
            <v>Suministros</v>
          </cell>
          <cell r="Q77" t="str">
            <v>Mínima cuantía</v>
          </cell>
          <cell r="R77" t="str">
            <v>Presupuesto inferior al 10% de la menor cuantía</v>
          </cell>
          <cell r="S77" t="str">
            <v>08/26/2026</v>
          </cell>
          <cell r="T77" t="str">
            <v>08/27/2026</v>
          </cell>
          <cell r="U77" t="str">
            <v>12/15/2026</v>
          </cell>
          <cell r="V77" t="str">
            <v>NXTWY.DLVY.6</v>
          </cell>
          <cell r="W77" t="str">
            <v>NIT</v>
          </cell>
          <cell r="X77" t="str">
            <v>900464395</v>
          </cell>
          <cell r="Y77" t="str">
            <v>STATE SOLUTIONS SAS</v>
          </cell>
          <cell r="Z77" t="str">
            <v>No</v>
          </cell>
          <cell r="AA77" t="str">
            <v>Si</v>
          </cell>
          <cell r="AB77" t="str">
            <v>No</v>
          </cell>
          <cell r="AC77" t="str">
            <v>Si</v>
          </cell>
          <cell r="AD77" t="str">
            <v>No</v>
          </cell>
          <cell r="AE77" t="str">
            <v>No</v>
          </cell>
          <cell r="AF77" t="str">
            <v>No</v>
          </cell>
          <cell r="AG77" t="str">
            <v>Distribuido</v>
          </cell>
          <cell r="AH77" t="str">
            <v>Funcionamiento</v>
          </cell>
          <cell r="AI77" t="str">
            <v>$5,041,279</v>
          </cell>
          <cell r="AJ77">
            <v>0</v>
          </cell>
          <cell r="AK77" t="str">
            <v>$3,153,719.5</v>
          </cell>
          <cell r="AL77" t="str">
            <v>$1,887,559.5</v>
          </cell>
          <cell r="AM77" t="str">
            <v>$3,153,719.5</v>
          </cell>
          <cell r="AN77">
            <v>0</v>
          </cell>
          <cell r="AO77">
            <v>0</v>
          </cell>
          <cell r="AP77" t="str">
            <v>$1,887,559.5</v>
          </cell>
          <cell r="AQ77" t="str">
            <v>$5,076,010</v>
          </cell>
          <cell r="AR77">
            <v>0</v>
          </cell>
          <cell r="AS77" t="str">
            <v>No</v>
          </cell>
          <cell r="AT77">
            <v>0</v>
          </cell>
          <cell r="AU77" t="str">
            <v>No aplica</v>
          </cell>
          <cell r="AV77" t="str">
            <v>No aplica</v>
          </cell>
          <cell r="AW77" t="str">
            <v>https://community.secop.gov.co/Public/Tendering/OpportunityDetail/Index?noticeUID=CO1.NTC.10586829&amp;isFromPublicArea=True&amp;isModal=true&amp;asPopupView=true</v>
          </cell>
          <cell r="AX77" t="str">
            <v>FIDIAS GIOVANNI TORRES MARTINEZ</v>
          </cell>
          <cell r="AY77" t="str">
            <v>CO</v>
          </cell>
          <cell r="AZ77" t="str">
            <v>CALLE 24A 42 33</v>
          </cell>
          <cell r="BA77" t="str">
            <v>Cédula de Ciudadanía</v>
          </cell>
          <cell r="BB77" t="str">
            <v>80091507</v>
          </cell>
          <cell r="BC77" t="str">
            <v>Hombre</v>
          </cell>
          <cell r="BD77" t="str">
            <v>$5,041,279</v>
          </cell>
          <cell r="BE77">
            <v>0</v>
          </cell>
          <cell r="BF77">
            <v>0</v>
          </cell>
          <cell r="BG77">
            <v>0</v>
          </cell>
          <cell r="BH77">
            <v>0</v>
          </cell>
          <cell r="BI77">
            <v>0</v>
          </cell>
          <cell r="BK77" t="str">
            <v>700,149,040</v>
          </cell>
          <cell r="BL77">
            <v>725162275</v>
          </cell>
          <cell r="BM77" t="str">
            <v>2026 Dec 16 12:00:00 AM</v>
          </cell>
          <cell r="BN77">
            <v>47832</v>
          </cell>
          <cell r="BO77" t="str">
            <v>Suministro de elementos de papelería; Cartuchos; tóner de impresión y otros artículos de oficina; para el normal funcionamiento de la Comisión de Regulación de ComunicacionesCRC</v>
          </cell>
          <cell r="BP77" t="str">
            <v>112 Dia(s)</v>
          </cell>
          <cell r="BQ77" t="str">
            <v>No definido</v>
          </cell>
          <cell r="BR77" t="str">
            <v>No Definido</v>
          </cell>
          <cell r="BS77" t="str">
            <v>No definido</v>
          </cell>
          <cell r="BT77" t="str">
            <v>No</v>
          </cell>
          <cell r="BU77" t="str">
            <v/>
          </cell>
          <cell r="BV77" t="str">
            <v>No definido</v>
          </cell>
          <cell r="BW77" t="str">
            <v>No definido</v>
          </cell>
          <cell r="BX77" t="str">
            <v>No definido</v>
          </cell>
          <cell r="BY77" t="str">
            <v>No definido</v>
          </cell>
          <cell r="BZ77" t="str">
            <v>No definido</v>
          </cell>
          <cell r="CA77" t="str">
            <v>No definido</v>
          </cell>
          <cell r="CB77" t="str">
            <v>No definido</v>
          </cell>
          <cell r="CC77" t="str">
            <v>No definido</v>
          </cell>
          <cell r="CD77" t="str">
            <v>No definido</v>
          </cell>
          <cell r="CE77" t="str">
            <v>No</v>
          </cell>
          <cell r="CF77" t="str">
            <v>No definido</v>
          </cell>
          <cell r="CG77" t="str">
            <v>Calle 59 a Bis # 5 - 53 Piso 9 EDIFICIO LINK SIETE SESENTA
Bogotá
Distrito Capital de Bogotá
COLOMBIA</v>
          </cell>
          <cell r="CH77" t="str">
            <v>No definido</v>
          </cell>
          <cell r="CI77" t="str">
            <v>No definido</v>
          </cell>
          <cell r="CJ77" t="str">
            <v>No definido</v>
          </cell>
          <cell r="CK77" t="str">
            <v>No definido</v>
          </cell>
          <cell r="CL77" t="str">
            <v>No definido</v>
          </cell>
          <cell r="CM77" t="str">
            <v>No</v>
          </cell>
          <cell r="CN77" t="str">
            <v/>
          </cell>
          <cell r="CO77" t="str">
            <v/>
          </cell>
          <cell r="CP77" t="str">
            <v/>
          </cell>
          <cell r="CQ77" t="str">
            <v/>
          </cell>
        </row>
        <row r="78">
          <cell r="A78" t="str">
            <v>COMISIÓN DE REGULACIÓN DE COMUNICACIONES</v>
          </cell>
          <cell r="B78" t="str">
            <v>830,002,593</v>
          </cell>
          <cell r="C78" t="str">
            <v>Distrito Capital de Bogotá</v>
          </cell>
          <cell r="D78" t="str">
            <v>Bogotá</v>
          </cell>
          <cell r="E78" t="str">
            <v>Colombia, Bogotá,  Bogotá</v>
          </cell>
          <cell r="F78" t="str">
            <v>Nacional</v>
          </cell>
          <cell r="G78" t="str">
            <v>Tecnologías de la Información y las Comunicaciones</v>
          </cell>
          <cell r="H78" t="str">
            <v>Ejecutivo</v>
          </cell>
          <cell r="I78" t="str">
            <v>Centralizada</v>
          </cell>
          <cell r="J78" t="str">
            <v>CO1.BDOS.10985424</v>
          </cell>
          <cell r="K78" t="str">
            <v>CO1.PCCNTR.10046152</v>
          </cell>
          <cell r="L78" t="str">
            <v>CONTRATO 96 DE 2026</v>
          </cell>
          <cell r="M78" t="str">
            <v>Aprobado</v>
          </cell>
          <cell r="N78" t="str">
            <v>UNSPECIFIED</v>
          </cell>
          <cell r="O78" t="str">
            <v>Desarrollar la Auditoría Externa de seguimiento a la certificación del Sistema Integrado de Gestión de la Comisión de Regulación de Comunicaciones CRC bajo la NTC-ISO 9001:2015</v>
          </cell>
          <cell r="P78" t="str">
            <v>Prestación de servicios</v>
          </cell>
          <cell r="Q78" t="str">
            <v>Contratación directa</v>
          </cell>
          <cell r="R78" t="str">
            <v>No existe pluralidad de oferentes en el mercado</v>
          </cell>
          <cell r="S78" t="str">
            <v>10/14/2026</v>
          </cell>
          <cell r="T78" t="str">
            <v/>
          </cell>
          <cell r="U78" t="str">
            <v>12/15/2026</v>
          </cell>
          <cell r="V78" t="str">
            <v>NXTWY.DLVY.6</v>
          </cell>
          <cell r="W78" t="str">
            <v>NIT</v>
          </cell>
          <cell r="X78" t="str">
            <v>860012336</v>
          </cell>
          <cell r="Y78" t="str">
            <v>INSTITUTO COLOMBIANO DE NORMAS TÉCNICAS Y CERTIFICACIÓN</v>
          </cell>
          <cell r="Z78" t="str">
            <v>No</v>
          </cell>
          <cell r="AA78" t="str">
            <v>No</v>
          </cell>
          <cell r="AB78" t="str">
            <v>No</v>
          </cell>
          <cell r="AC78" t="str">
            <v>No</v>
          </cell>
          <cell r="AD78" t="str">
            <v>No</v>
          </cell>
          <cell r="AE78" t="str">
            <v>No</v>
          </cell>
          <cell r="AF78" t="str">
            <v>No</v>
          </cell>
          <cell r="AG78" t="str">
            <v>Distribuido</v>
          </cell>
          <cell r="AH78" t="str">
            <v>Inversión</v>
          </cell>
          <cell r="AI78" t="str">
            <v>$8,610,840</v>
          </cell>
          <cell r="AJ78">
            <v>0</v>
          </cell>
          <cell r="AK78" t="str">
            <v>$0</v>
          </cell>
          <cell r="AL78" t="str">
            <v>$8,610,840</v>
          </cell>
          <cell r="AM78" t="str">
            <v>$0</v>
          </cell>
          <cell r="AN78">
            <v>0</v>
          </cell>
          <cell r="AO78">
            <v>0</v>
          </cell>
          <cell r="AP78" t="str">
            <v>$8,610,840</v>
          </cell>
          <cell r="AQ78" t="str">
            <v>$8,610,840</v>
          </cell>
          <cell r="AR78">
            <v>0</v>
          </cell>
          <cell r="AS78" t="str">
            <v>No</v>
          </cell>
          <cell r="AT78">
            <v>0</v>
          </cell>
          <cell r="AU78" t="str">
            <v>No aplica</v>
          </cell>
          <cell r="AV78" t="str">
            <v>No aplica</v>
          </cell>
          <cell r="AW78" t="str">
            <v>https://community.secop.gov.co/Public/Tendering/OpportunityDetail/Index?noticeUID=CO1.NTC.11029007&amp;isFromPublicArea=True&amp;isModal=true&amp;asPopupView=true</v>
          </cell>
          <cell r="AX78" t="str">
            <v>Angela Maria Alvarez Patiño</v>
          </cell>
          <cell r="AY78" t="str">
            <v>CO</v>
          </cell>
          <cell r="AZ78" t="str">
            <v>Av Calle 26 # 69 - 76 Torre 4 Piso 9</v>
          </cell>
          <cell r="BA78" t="str">
            <v>Cédula de Ciudadanía</v>
          </cell>
          <cell r="BB78" t="str">
            <v>30402563</v>
          </cell>
          <cell r="BC78" t="str">
            <v>Mujer</v>
          </cell>
          <cell r="BD78" t="str">
            <v>$8,610,840</v>
          </cell>
          <cell r="BE78">
            <v>0</v>
          </cell>
          <cell r="BF78">
            <v>0</v>
          </cell>
          <cell r="BG78">
            <v>0</v>
          </cell>
          <cell r="BH78">
            <v>0</v>
          </cell>
          <cell r="BI78">
            <v>0</v>
          </cell>
          <cell r="BK78" t="str">
            <v>700,149,040</v>
          </cell>
          <cell r="BL78">
            <v>700844012</v>
          </cell>
          <cell r="BM78" t="str">
            <v/>
          </cell>
          <cell r="BO78" t="str">
            <v>Desarrollar la Auditoría Externa de seguimiento a la certificación del Sistema Integrado de Gestión de la Comisión de Regulación de Comunicaciones CRC bajo la NTC-ISO 9001:2015</v>
          </cell>
          <cell r="BP78" t="str">
            <v>68 Dia(s)</v>
          </cell>
          <cell r="BQ78" t="str">
            <v>No definido</v>
          </cell>
          <cell r="BR78" t="str">
            <v>No Definido</v>
          </cell>
          <cell r="BS78" t="str">
            <v>No definido</v>
          </cell>
          <cell r="BT78" t="str">
            <v>No</v>
          </cell>
          <cell r="BU78" t="str">
            <v/>
          </cell>
          <cell r="BV78" t="str">
            <v>No definido</v>
          </cell>
          <cell r="BW78" t="str">
            <v>No definido</v>
          </cell>
          <cell r="BX78" t="str">
            <v>No definido</v>
          </cell>
          <cell r="BY78" t="str">
            <v>No definido</v>
          </cell>
          <cell r="BZ78" t="str">
            <v>No definido</v>
          </cell>
          <cell r="CA78" t="str">
            <v>No definido</v>
          </cell>
          <cell r="CB78" t="str">
            <v>No definido</v>
          </cell>
          <cell r="CC78" t="str">
            <v>No definido</v>
          </cell>
          <cell r="CD78" t="str">
            <v>No definido</v>
          </cell>
          <cell r="CE78" t="str">
            <v>No</v>
          </cell>
          <cell r="CF78" t="str">
            <v>No definido</v>
          </cell>
          <cell r="CG78" t="str">
            <v>Calle 59 a Bis # 5 - 53 Piso 9 EDIFICIO LINK SIETE SESENTA
Bogotá
Distrito Capital de Bogotá
COLOMBIA</v>
          </cell>
          <cell r="CH78" t="str">
            <v>No definido</v>
          </cell>
          <cell r="CI78" t="str">
            <v>No definido</v>
          </cell>
          <cell r="CJ78" t="str">
            <v>No definido</v>
          </cell>
          <cell r="CK78" t="str">
            <v>No definido</v>
          </cell>
          <cell r="CL78" t="str">
            <v>No definido</v>
          </cell>
          <cell r="CM78" t="str">
            <v>No</v>
          </cell>
          <cell r="CN78" t="str">
            <v/>
          </cell>
          <cell r="CO78" t="str">
            <v/>
          </cell>
          <cell r="CP78" t="str">
            <v/>
          </cell>
          <cell r="CQ78" t="str">
            <v/>
          </cell>
        </row>
        <row r="79">
          <cell r="A79" t="str">
            <v>COMISIÓN DE REGULACIÓN DE COMUNICACIONES</v>
          </cell>
          <cell r="B79" t="str">
            <v>830,002,593</v>
          </cell>
          <cell r="C79" t="str">
            <v>Distrito Capital de Bogotá</v>
          </cell>
          <cell r="D79" t="str">
            <v>Bogotá</v>
          </cell>
          <cell r="E79" t="str">
            <v>Colombia, Bogotá,  Bogotá</v>
          </cell>
          <cell r="F79" t="str">
            <v>Nacional</v>
          </cell>
          <cell r="G79" t="str">
            <v>Tecnologías de la Información y las Comunicaciones</v>
          </cell>
          <cell r="H79" t="str">
            <v>Ejecutivo</v>
          </cell>
          <cell r="I79" t="str">
            <v>Centralizada</v>
          </cell>
          <cell r="J79" t="str">
            <v>CO1.BDOS.10537569</v>
          </cell>
          <cell r="K79" t="str">
            <v>CO1.PCCNTR.9812331</v>
          </cell>
          <cell r="L79" t="str">
            <v>CONTRATO 92 DE 2026</v>
          </cell>
          <cell r="M79" t="str">
            <v>En ejecución</v>
          </cell>
          <cell r="N79" t="str">
            <v>V1.81112003</v>
          </cell>
          <cell r="O79" t="str">
            <v>Prestación del servicio de mantenimiento preventivo y correctivo de los equipos; Facilities e infraestructura de Tecnologías de Información y Comunicaciones utilizados por la Comisión de Regulación de Comunicaciones - CRC; incluyendo el suministro e instalación de repuestos; partes y/o accesorios or</v>
          </cell>
          <cell r="P79" t="str">
            <v>Prestación de servicios</v>
          </cell>
          <cell r="Q79" t="str">
            <v>Mínima cuantía</v>
          </cell>
          <cell r="R79" t="str">
            <v>Presupuesto inferior al 10% de la menor cuantía</v>
          </cell>
          <cell r="S79" t="str">
            <v>08/18/2026</v>
          </cell>
          <cell r="T79" t="str">
            <v>08/24/2026</v>
          </cell>
          <cell r="U79" t="str">
            <v>12/15/2026</v>
          </cell>
          <cell r="V79" t="str">
            <v>No Definido</v>
          </cell>
          <cell r="W79" t="str">
            <v>NIT</v>
          </cell>
          <cell r="X79" t="str">
            <v>900627060</v>
          </cell>
          <cell r="Y79" t="str">
            <v>ALL TECHNOLOGICAL SERVICES ATS SAS</v>
          </cell>
          <cell r="Z79" t="str">
            <v>No</v>
          </cell>
          <cell r="AA79" t="str">
            <v>Si</v>
          </cell>
          <cell r="AB79" t="str">
            <v>No</v>
          </cell>
          <cell r="AC79" t="str">
            <v>Si</v>
          </cell>
          <cell r="AD79" t="str">
            <v>No</v>
          </cell>
          <cell r="AE79" t="str">
            <v>No</v>
          </cell>
          <cell r="AF79" t="str">
            <v>No</v>
          </cell>
          <cell r="AG79" t="str">
            <v>Distribuido</v>
          </cell>
          <cell r="AH79" t="str">
            <v>Funcionamiento</v>
          </cell>
          <cell r="AI79" t="str">
            <v>$29,990,215</v>
          </cell>
          <cell r="AJ79">
            <v>0</v>
          </cell>
          <cell r="AK79" t="str">
            <v>$0</v>
          </cell>
          <cell r="AL79" t="str">
            <v>$29,990,215</v>
          </cell>
          <cell r="AM79" t="str">
            <v>$0</v>
          </cell>
          <cell r="AN79">
            <v>0</v>
          </cell>
          <cell r="AO79">
            <v>0</v>
          </cell>
          <cell r="AP79" t="str">
            <v>$29,990,215</v>
          </cell>
          <cell r="AQ79" t="str">
            <v>$35,763,500</v>
          </cell>
          <cell r="AR79">
            <v>0</v>
          </cell>
          <cell r="AS79" t="str">
            <v>No</v>
          </cell>
          <cell r="AT79">
            <v>0</v>
          </cell>
          <cell r="AU79" t="str">
            <v>No aplica</v>
          </cell>
          <cell r="AV79" t="str">
            <v>No aplica</v>
          </cell>
          <cell r="AW79" t="str">
            <v>https://community.secop.gov.co/Public/Tendering/OpportunityDetail/Index?noticeUID=CO1.NTC.10575387&amp;isFromPublicArea=True&amp;isModal=true&amp;asPopupView=true</v>
          </cell>
          <cell r="AX79" t="str">
            <v>YEISON GARZÓN GONZÁLEZ</v>
          </cell>
          <cell r="AY79" t="str">
            <v>CO</v>
          </cell>
          <cell r="AZ79" t="str">
            <v>No Definido</v>
          </cell>
          <cell r="BA79" t="str">
            <v>Sin Descripcion</v>
          </cell>
          <cell r="BB79" t="str">
            <v>Sin Descripcion</v>
          </cell>
          <cell r="BC79" t="str">
            <v>Hombre</v>
          </cell>
          <cell r="BD79" t="str">
            <v>$29,990,215</v>
          </cell>
          <cell r="BE79">
            <v>0</v>
          </cell>
          <cell r="BF79">
            <v>0</v>
          </cell>
          <cell r="BG79">
            <v>0</v>
          </cell>
          <cell r="BH79">
            <v>0</v>
          </cell>
          <cell r="BI79">
            <v>0</v>
          </cell>
          <cell r="BK79" t="str">
            <v>700,149,040</v>
          </cell>
          <cell r="BL79">
            <v>700859176</v>
          </cell>
          <cell r="BM79" t="str">
            <v>2026 Dec 16 12:00:00 AM</v>
          </cell>
          <cell r="BN79">
            <v>47589</v>
          </cell>
          <cell r="BO79" t="str">
            <v>Prestación del servicio de mantenimiento preventivo y correctivo de los equipos; Facilities e infraestructura de Tecnologías de Información y Comunicaciones utilizados por la Comisión de Regulación de Comunicaciones - CRC; incluyendo el suministro e instalación de repuestos; partes y/o accesorios originales no remanufacturados que se requieran con el fin de asegurar su funcionamiento continuo y confiable.</v>
          </cell>
          <cell r="BP79" t="str">
            <v>118 Dia(s)</v>
          </cell>
          <cell r="BQ79" t="str">
            <v>No definido</v>
          </cell>
          <cell r="BR79" t="str">
            <v>No Definido</v>
          </cell>
          <cell r="BS79" t="str">
            <v>No definido</v>
          </cell>
          <cell r="BT79" t="str">
            <v>No</v>
          </cell>
          <cell r="BU79" t="str">
            <v/>
          </cell>
          <cell r="BV79" t="str">
            <v>No definido</v>
          </cell>
          <cell r="BW79" t="str">
            <v>No definido</v>
          </cell>
          <cell r="BX79" t="str">
            <v>No definido</v>
          </cell>
          <cell r="BY79" t="str">
            <v>No definido</v>
          </cell>
          <cell r="BZ79" t="str">
            <v>No definido</v>
          </cell>
          <cell r="CA79" t="str">
            <v>No definido</v>
          </cell>
          <cell r="CB79" t="str">
            <v>DIANA WILCHES</v>
          </cell>
          <cell r="CC79" t="str">
            <v>Cédula de Ciudadanía</v>
          </cell>
          <cell r="CD79" t="str">
            <v>40049758</v>
          </cell>
          <cell r="CE79" t="str">
            <v>No</v>
          </cell>
          <cell r="CF79" t="str">
            <v>No definido</v>
          </cell>
          <cell r="CG79" t="str">
            <v>Calle 59 a Bis # 5 - 53 Piso 9 EDIFICIO LINK SIETE SESENTA
Bogotá
Distrito Capital de Bogotá
COLOMBIA</v>
          </cell>
          <cell r="CH79" t="str">
            <v>No definido</v>
          </cell>
          <cell r="CI79" t="str">
            <v>No definido</v>
          </cell>
          <cell r="CJ79" t="str">
            <v>No definido</v>
          </cell>
          <cell r="CK79" t="str">
            <v>No definido</v>
          </cell>
          <cell r="CL79" t="str">
            <v>No definido</v>
          </cell>
          <cell r="CM79" t="str">
            <v>No</v>
          </cell>
          <cell r="CN79" t="str">
            <v/>
          </cell>
          <cell r="CO79" t="str">
            <v/>
          </cell>
          <cell r="CP79" t="str">
            <v/>
          </cell>
          <cell r="CQ79" t="str">
            <v/>
          </cell>
        </row>
        <row r="80">
          <cell r="A80" t="str">
            <v>COMISIÓN DE REGULACIÓN DE COMUNICACIONES</v>
          </cell>
          <cell r="B80" t="str">
            <v>830,002,593</v>
          </cell>
          <cell r="C80" t="str">
            <v>Distrito Capital de Bogotá</v>
          </cell>
          <cell r="D80" t="str">
            <v>Bogotá</v>
          </cell>
          <cell r="E80" t="str">
            <v>Colombia, Bogotá,  Bogotá</v>
          </cell>
          <cell r="F80" t="str">
            <v>Nacional</v>
          </cell>
          <cell r="G80" t="str">
            <v>Tecnologías de la Información y las Comunicaciones</v>
          </cell>
          <cell r="H80" t="str">
            <v>Ejecutivo</v>
          </cell>
          <cell r="I80" t="str">
            <v>Centralizada</v>
          </cell>
          <cell r="J80" t="str">
            <v>CO1.BDOS.9597449</v>
          </cell>
          <cell r="K80" t="str">
            <v>CO1.PCCNTR.8985126</v>
          </cell>
          <cell r="L80" t="str">
            <v>CONTRATO 47 DE 2026</v>
          </cell>
          <cell r="M80" t="str">
            <v>En ejecución</v>
          </cell>
          <cell r="N80" t="str">
            <v>V1.86131504</v>
          </cell>
          <cell r="O80" t="str">
            <v>Brindar apoyo profesional para observar; analizar y evaluar contenidos audiovisuales con el fin de generar informes y reportes sobre el cumplimiento de los lineamientos legales y reglamentarios de dichos contenidos respecto del pluralismo e imparcialidad informativos; en el marco de los proyectos co</v>
          </cell>
          <cell r="P80" t="str">
            <v>Prestación de servicios</v>
          </cell>
          <cell r="Q80" t="str">
            <v>Contratación directa</v>
          </cell>
          <cell r="R80" t="str">
            <v>Servicios profesionales y apoyo a la gestión</v>
          </cell>
          <cell r="S80" t="str">
            <v>01/20/2026</v>
          </cell>
          <cell r="T80" t="str">
            <v>01/26/2026</v>
          </cell>
          <cell r="U80" t="str">
            <v>11/23/2026</v>
          </cell>
          <cell r="V80" t="str">
            <v>NXTWY.DLVY.6</v>
          </cell>
          <cell r="W80" t="str">
            <v>Cédula de Ciudadanía</v>
          </cell>
          <cell r="X80" t="str">
            <v>1088038389</v>
          </cell>
          <cell r="Y80" t="str">
            <v>Marcello Correa Lesmes</v>
          </cell>
          <cell r="Z80" t="str">
            <v>No</v>
          </cell>
          <cell r="AA80" t="str">
            <v>No</v>
          </cell>
          <cell r="AB80" t="str">
            <v>No</v>
          </cell>
          <cell r="AC80" t="str">
            <v>No</v>
          </cell>
          <cell r="AD80" t="str">
            <v>No</v>
          </cell>
          <cell r="AE80" t="str">
            <v>No</v>
          </cell>
          <cell r="AF80" t="str">
            <v>No</v>
          </cell>
          <cell r="AG80" t="str">
            <v>Distribuido</v>
          </cell>
          <cell r="AH80" t="str">
            <v>Inversión</v>
          </cell>
          <cell r="AI80" t="str">
            <v>$40,000,000</v>
          </cell>
          <cell r="AJ80">
            <v>0</v>
          </cell>
          <cell r="AK80" t="str">
            <v>$32,000,000</v>
          </cell>
          <cell r="AL80" t="str">
            <v>$8,000,000</v>
          </cell>
          <cell r="AM80" t="str">
            <v>$32,000,000</v>
          </cell>
          <cell r="AN80">
            <v>0</v>
          </cell>
          <cell r="AO80">
            <v>0</v>
          </cell>
          <cell r="AP80" t="str">
            <v>$8,000,000</v>
          </cell>
          <cell r="AQ80" t="str">
            <v>$40,000,000</v>
          </cell>
          <cell r="AR80">
            <v>0</v>
          </cell>
          <cell r="AS80" t="str">
            <v>No</v>
          </cell>
          <cell r="AT80">
            <v>0</v>
          </cell>
          <cell r="AU80" t="str">
            <v>No aplica</v>
          </cell>
          <cell r="AV80" t="str">
            <v>No aplica</v>
          </cell>
          <cell r="AW80" t="str">
            <v>https://community.secop.gov.co/Public/Tendering/OpportunityDetail/Index?noticeUID=CO1.NTC.9616424&amp;isFromPublicArea=True&amp;isModal=true&amp;asPopupView=true</v>
          </cell>
          <cell r="AX80" t="str">
            <v>Marcello Correa Lesmes</v>
          </cell>
          <cell r="AY80" t="str">
            <v>CO</v>
          </cell>
          <cell r="AZ80" t="str">
            <v>No Definido</v>
          </cell>
          <cell r="BA80" t="str">
            <v>Sin Descripcion</v>
          </cell>
          <cell r="BB80" t="str">
            <v>Sin Descripcion</v>
          </cell>
          <cell r="BC80" t="str">
            <v>Hombre</v>
          </cell>
          <cell r="BD80" t="str">
            <v>$40,000,000</v>
          </cell>
          <cell r="BE80">
            <v>0</v>
          </cell>
          <cell r="BF80">
            <v>0</v>
          </cell>
          <cell r="BG80">
            <v>0</v>
          </cell>
          <cell r="BH80">
            <v>0</v>
          </cell>
          <cell r="BI80">
            <v>0</v>
          </cell>
          <cell r="BK80" t="str">
            <v>700,149,040</v>
          </cell>
          <cell r="BL80">
            <v>734993082</v>
          </cell>
          <cell r="BM80" t="str">
            <v/>
          </cell>
          <cell r="BO80" t="str">
            <v>Brindar apoyo profesional para observar; analizar y evaluar contenidos audiovisuales con el fin de generar informes y reportes sobre el cumplimiento de los lineamientos legales y reglamentarios de dichos contenidos respecto del pluralismo e imparcialidad informativos; en el marco de los proyectos contemplados dentro de la Agenda Regulatoria y el Plan de Acción 2026</v>
          </cell>
          <cell r="BP80" t="str">
            <v>10 Mes(es)</v>
          </cell>
          <cell r="BQ80" t="str">
            <v>No definido</v>
          </cell>
          <cell r="BR80" t="str">
            <v>No Definido</v>
          </cell>
          <cell r="BS80" t="str">
            <v>No definido</v>
          </cell>
          <cell r="BT80" t="str">
            <v>No</v>
          </cell>
          <cell r="BU80" t="str">
            <v/>
          </cell>
          <cell r="BV80" t="str">
            <v>No definido</v>
          </cell>
          <cell r="BW80" t="str">
            <v>No definido</v>
          </cell>
          <cell r="BX80" t="str">
            <v>No definido</v>
          </cell>
          <cell r="BY80" t="str">
            <v>No definido</v>
          </cell>
          <cell r="BZ80" t="str">
            <v>No definido</v>
          </cell>
          <cell r="CA80" t="str">
            <v>No definido</v>
          </cell>
          <cell r="CB80" t="str">
            <v>No definido</v>
          </cell>
          <cell r="CC80" t="str">
            <v>No definido</v>
          </cell>
          <cell r="CD80" t="str">
            <v>No definido</v>
          </cell>
          <cell r="CE80" t="str">
            <v>No</v>
          </cell>
          <cell r="CF80" t="str">
            <v>No definido</v>
          </cell>
          <cell r="CG80" t="str">
            <v>Calle 59 a Bis # 5 - 53 Piso 9 EDIFICIO LINK SIETE SESENTA
Bogotá
Distrito Capital de Bogotá
COLOMBIA</v>
          </cell>
          <cell r="CH80" t="str">
            <v>No definido</v>
          </cell>
          <cell r="CI80" t="str">
            <v>No definido</v>
          </cell>
          <cell r="CJ80" t="str">
            <v>No definido</v>
          </cell>
          <cell r="CK80" t="str">
            <v>No definido</v>
          </cell>
          <cell r="CL80" t="str">
            <v>No definido</v>
          </cell>
          <cell r="CM80" t="str">
            <v>No</v>
          </cell>
          <cell r="CN80" t="str">
            <v/>
          </cell>
          <cell r="CO80" t="str">
            <v/>
          </cell>
          <cell r="CP80" t="str">
            <v/>
          </cell>
          <cell r="CQ80" t="str">
            <v/>
          </cell>
        </row>
        <row r="81">
          <cell r="A81" t="str">
            <v>COMISIÓN DE REGULACIÓN DE COMUNICACIONES</v>
          </cell>
          <cell r="B81" t="str">
            <v>830,002,593</v>
          </cell>
          <cell r="C81" t="str">
            <v>Distrito Capital de Bogotá</v>
          </cell>
          <cell r="D81" t="str">
            <v>Bogotá</v>
          </cell>
          <cell r="E81" t="str">
            <v>Colombia, Bogotá,  Bogotá</v>
          </cell>
          <cell r="F81" t="str">
            <v>Nacional</v>
          </cell>
          <cell r="G81" t="str">
            <v>Tecnologías de la Información y las Comunicaciones</v>
          </cell>
          <cell r="H81" t="str">
            <v>Ejecutivo</v>
          </cell>
          <cell r="I81" t="str">
            <v>Centralizada</v>
          </cell>
          <cell r="J81" t="str">
            <v>CO1.BDOS.10628652</v>
          </cell>
          <cell r="K81" t="str">
            <v>CO1.PCCNTR.9781673</v>
          </cell>
          <cell r="L81" t="str">
            <v>CONTRATO 89 DE 2026</v>
          </cell>
          <cell r="M81" t="str">
            <v>En ejecución</v>
          </cell>
          <cell r="N81" t="str">
            <v>V1.80101505</v>
          </cell>
          <cell r="O81" t="str">
            <v>Prestar servicios profesionales para apoyar la identificación y documentación de los tipos de violencias digitales y las rutas institucionales de atención; así como para el desarrollo del componente conceptual; pedagógico y de contenidos del curso virtual sobre Violencias Digitales Basadas en Género</v>
          </cell>
          <cell r="P81" t="str">
            <v>Prestación de servicios</v>
          </cell>
          <cell r="Q81" t="str">
            <v>Contratación directa</v>
          </cell>
          <cell r="R81" t="str">
            <v>Servicios profesionales y apoyo a la gestión</v>
          </cell>
          <cell r="S81" t="str">
            <v>08/11/2026</v>
          </cell>
          <cell r="T81" t="str">
            <v>08/12/2026</v>
          </cell>
          <cell r="U81" t="str">
            <v>11/12/2026</v>
          </cell>
          <cell r="V81" t="str">
            <v>NXTWY.DLVY.6</v>
          </cell>
          <cell r="W81" t="str">
            <v>Cédula de Ciudadanía</v>
          </cell>
          <cell r="X81" t="str">
            <v>43983829</v>
          </cell>
          <cell r="Y81" t="str">
            <v>Sandra Milena Alvarez Ramirez</v>
          </cell>
          <cell r="Z81" t="str">
            <v>No</v>
          </cell>
          <cell r="AA81" t="str">
            <v>No</v>
          </cell>
          <cell r="AB81" t="str">
            <v>No</v>
          </cell>
          <cell r="AC81" t="str">
            <v>No</v>
          </cell>
          <cell r="AD81" t="str">
            <v>No</v>
          </cell>
          <cell r="AE81" t="str">
            <v>No</v>
          </cell>
          <cell r="AF81" t="str">
            <v>No</v>
          </cell>
          <cell r="AG81" t="str">
            <v>Distribuido</v>
          </cell>
          <cell r="AH81" t="str">
            <v>Inversión</v>
          </cell>
          <cell r="AI81" t="str">
            <v>$30,000,000</v>
          </cell>
          <cell r="AJ81">
            <v>0</v>
          </cell>
          <cell r="AK81" t="str">
            <v>$10,000,000</v>
          </cell>
          <cell r="AL81" t="str">
            <v>$20,000,000</v>
          </cell>
          <cell r="AM81" t="str">
            <v>$10,000,000</v>
          </cell>
          <cell r="AN81">
            <v>0</v>
          </cell>
          <cell r="AO81">
            <v>0</v>
          </cell>
          <cell r="AP81" t="str">
            <v>$20,000,000</v>
          </cell>
          <cell r="AQ81" t="str">
            <v>$30,000,000</v>
          </cell>
          <cell r="AR81">
            <v>0</v>
          </cell>
          <cell r="AS81" t="str">
            <v>No</v>
          </cell>
          <cell r="AT81">
            <v>0</v>
          </cell>
          <cell r="AU81" t="str">
            <v>No aplica</v>
          </cell>
          <cell r="AV81" t="str">
            <v>No aplica</v>
          </cell>
          <cell r="AW81" t="str">
            <v>https://community.secop.gov.co/Public/Tendering/OpportunityDetail/Index?noticeUID=CO1.NTC.10667686&amp;isFromPublicArea=True&amp;isModal=true&amp;asPopupView=true</v>
          </cell>
          <cell r="AX81" t="str">
            <v>Sandra Milena Alvarez Ramirez</v>
          </cell>
          <cell r="AY81" t="str">
            <v>CO</v>
          </cell>
          <cell r="AZ81" t="str">
            <v>No Definido</v>
          </cell>
          <cell r="BA81" t="str">
            <v>Sin Descripcion</v>
          </cell>
          <cell r="BB81" t="str">
            <v>Sin Descripcion</v>
          </cell>
          <cell r="BC81" t="str">
            <v>No Definido</v>
          </cell>
          <cell r="BD81" t="str">
            <v>$30,000,000</v>
          </cell>
          <cell r="BE81">
            <v>0</v>
          </cell>
          <cell r="BF81">
            <v>0</v>
          </cell>
          <cell r="BG81">
            <v>0</v>
          </cell>
          <cell r="BH81">
            <v>0</v>
          </cell>
          <cell r="BI81">
            <v>0</v>
          </cell>
          <cell r="BK81" t="str">
            <v>700,149,040</v>
          </cell>
          <cell r="BL81">
            <v>703001768</v>
          </cell>
          <cell r="BM81" t="str">
            <v/>
          </cell>
          <cell r="BO81" t="str">
            <v>Prestar servicios profesionales para apoyar la identificación y documentación de los tipos de violencias digitales y las rutas institucionales de atención; así como para el desarrollo del componente conceptual; pedagógico y de contenidos del curso virtual sobre Violencias Digitales Basadas en Género (VDBG) mediadas por Inteligencia Artificial; bajo enfoques de derechos humanos e interseccionalidad</v>
          </cell>
          <cell r="BP81" t="str">
            <v>3 Mes(es)</v>
          </cell>
          <cell r="BQ81" t="str">
            <v>No definido</v>
          </cell>
          <cell r="BR81" t="str">
            <v>No Definido</v>
          </cell>
          <cell r="BS81" t="str">
            <v>No definido</v>
          </cell>
          <cell r="BT81" t="str">
            <v>No</v>
          </cell>
          <cell r="BU81" t="str">
            <v/>
          </cell>
          <cell r="BV81" t="str">
            <v>No definido</v>
          </cell>
          <cell r="BW81" t="str">
            <v>No definido</v>
          </cell>
          <cell r="BX81" t="str">
            <v>No definido</v>
          </cell>
          <cell r="BY81" t="str">
            <v>No definido</v>
          </cell>
          <cell r="BZ81" t="str">
            <v>No definido</v>
          </cell>
          <cell r="CA81" t="str">
            <v>No definido</v>
          </cell>
          <cell r="CB81" t="str">
            <v>No definido</v>
          </cell>
          <cell r="CC81" t="str">
            <v>No definido</v>
          </cell>
          <cell r="CD81" t="str">
            <v>No definido</v>
          </cell>
          <cell r="CE81" t="str">
            <v>No</v>
          </cell>
          <cell r="CF81" t="str">
            <v>No definido</v>
          </cell>
          <cell r="CG81" t="str">
            <v>Calle 59 a Bis # 5 - 53 Piso 9 EDIFICIO LINK SIETE SESENTA
Bogotá
Distrito Capital de Bogotá
COLOMBIA</v>
          </cell>
          <cell r="CH81" t="str">
            <v>No definido</v>
          </cell>
          <cell r="CI81" t="str">
            <v>No definido</v>
          </cell>
          <cell r="CJ81" t="str">
            <v>No definido</v>
          </cell>
          <cell r="CK81" t="str">
            <v>No definido</v>
          </cell>
          <cell r="CL81" t="str">
            <v>No definido</v>
          </cell>
          <cell r="CM81" t="str">
            <v>No</v>
          </cell>
          <cell r="CN81" t="str">
            <v/>
          </cell>
          <cell r="CO81" t="str">
            <v/>
          </cell>
          <cell r="CP81" t="str">
            <v/>
          </cell>
          <cell r="CQ81" t="str">
            <v/>
          </cell>
        </row>
        <row r="82">
          <cell r="A82" t="str">
            <v>COMISIÓN DE REGULACIÓN DE COMUNICACIONES</v>
          </cell>
          <cell r="B82" t="str">
            <v>830,002,593</v>
          </cell>
          <cell r="C82" t="str">
            <v>Distrito Capital de Bogotá</v>
          </cell>
          <cell r="D82" t="str">
            <v>Bogotá</v>
          </cell>
          <cell r="E82" t="str">
            <v>Colombia, Bogotá,  Bogotá</v>
          </cell>
          <cell r="F82" t="str">
            <v>Nacional</v>
          </cell>
          <cell r="G82" t="str">
            <v>Tecnologías de la Información y las Comunicaciones</v>
          </cell>
          <cell r="H82" t="str">
            <v>Ejecutivo</v>
          </cell>
          <cell r="I82" t="str">
            <v>Centralizada</v>
          </cell>
          <cell r="J82" t="str">
            <v>CO1.BDOS.9296312</v>
          </cell>
          <cell r="K82" t="str">
            <v>CO1.PCCNTR.8790228</v>
          </cell>
          <cell r="L82" t="str">
            <v>CONTRATO 10 DE 2026</v>
          </cell>
          <cell r="M82" t="str">
            <v>En ejecución</v>
          </cell>
          <cell r="N82" t="str">
            <v>V1.80111601</v>
          </cell>
          <cell r="O82" t="str">
            <v>Prestar apoyo técnico a la Coordinación de Gestión Administrativa y Financiera en el desarrollo de actividades operativas y administrativas; incluyendo la atención en la recepción institucional; la canalización de correspondencia y el soporte en procesos internos de Talento Humano. ejecutadas de man</v>
          </cell>
          <cell r="P82" t="str">
            <v>Prestación de servicios</v>
          </cell>
          <cell r="Q82" t="str">
            <v>Contratación directa</v>
          </cell>
          <cell r="R82" t="str">
            <v>Servicios profesionales y apoyo a la gestión</v>
          </cell>
          <cell r="S82" t="str">
            <v>01/08/2026</v>
          </cell>
          <cell r="T82" t="str">
            <v>01/13/2026</v>
          </cell>
          <cell r="U82" t="str">
            <v>12/31/2026</v>
          </cell>
          <cell r="V82" t="str">
            <v>NXTWY.DLVY.6</v>
          </cell>
          <cell r="W82" t="str">
            <v>Cédula de Ciudadanía</v>
          </cell>
          <cell r="X82" t="str">
            <v>52250896</v>
          </cell>
          <cell r="Y82" t="str">
            <v>Carolina Gonzalez</v>
          </cell>
          <cell r="Z82" t="str">
            <v>No</v>
          </cell>
          <cell r="AA82" t="str">
            <v>No</v>
          </cell>
          <cell r="AB82" t="str">
            <v>No</v>
          </cell>
          <cell r="AC82" t="str">
            <v>No</v>
          </cell>
          <cell r="AD82" t="str">
            <v>No</v>
          </cell>
          <cell r="AE82" t="str">
            <v>No</v>
          </cell>
          <cell r="AF82" t="str">
            <v>No</v>
          </cell>
          <cell r="AG82" t="str">
            <v>Distribuido</v>
          </cell>
          <cell r="AH82" t="str">
            <v>Funcionamiento</v>
          </cell>
          <cell r="AI82" t="str">
            <v>$44,132,375</v>
          </cell>
          <cell r="AJ82">
            <v>0</v>
          </cell>
          <cell r="AK82" t="str">
            <v>$32,531,865</v>
          </cell>
          <cell r="AL82" t="str">
            <v>$11,600,510</v>
          </cell>
          <cell r="AM82" t="str">
            <v>$32,531,865</v>
          </cell>
          <cell r="AN82">
            <v>0</v>
          </cell>
          <cell r="AO82">
            <v>0</v>
          </cell>
          <cell r="AP82" t="str">
            <v>$11,600,510</v>
          </cell>
          <cell r="AQ82" t="str">
            <v>$44,132,375</v>
          </cell>
          <cell r="AR82">
            <v>0</v>
          </cell>
          <cell r="AS82" t="str">
            <v>No</v>
          </cell>
          <cell r="AT82">
            <v>0</v>
          </cell>
          <cell r="AU82" t="str">
            <v>No aplica</v>
          </cell>
          <cell r="AV82" t="str">
            <v>No aplica</v>
          </cell>
          <cell r="AW82" t="str">
            <v>https://community.secop.gov.co/Public/Tendering/OpportunityDetail/Index?noticeUID=CO1.NTC.9415572&amp;isFromPublicArea=True&amp;isModal=true&amp;asPopupView=true</v>
          </cell>
          <cell r="AX82" t="str">
            <v>Carolina Gonzalez</v>
          </cell>
          <cell r="AY82" t="str">
            <v>CO</v>
          </cell>
          <cell r="AZ82" t="str">
            <v>cll 127b #93c-16</v>
          </cell>
          <cell r="BA82" t="str">
            <v>Cédula de Ciudadanía</v>
          </cell>
          <cell r="BB82" t="str">
            <v>52250896</v>
          </cell>
          <cell r="BC82" t="str">
            <v>Mujer</v>
          </cell>
          <cell r="BD82" t="str">
            <v>$44,132,375</v>
          </cell>
          <cell r="BE82">
            <v>0</v>
          </cell>
          <cell r="BF82">
            <v>0</v>
          </cell>
          <cell r="BG82">
            <v>0</v>
          </cell>
          <cell r="BH82">
            <v>0</v>
          </cell>
          <cell r="BI82">
            <v>0</v>
          </cell>
          <cell r="BK82" t="str">
            <v>700,149,040</v>
          </cell>
          <cell r="BL82">
            <v>720540996</v>
          </cell>
          <cell r="BM82" t="str">
            <v/>
          </cell>
          <cell r="BO82" t="str">
            <v>Prestar apoyo técnico a la Coordinación de Gestión Administrativa y Financiera en el desarrollo de actividades operativas y administrativas; incluyendo la atención en la recepción institucional; la canalización de correspondencia y el soporte en procesos internos de Talento Humano. ejecutadas de manera autónoma; sin subordinación ni vínculo laboral con la entidad.  El uso de recursos físicos o tecnológicos de la entidad para la ejecución del contrato será exclusivamente para facilitar el desarro</v>
          </cell>
          <cell r="BP82" t="str">
            <v>345 Dia(s)</v>
          </cell>
          <cell r="BQ82" t="str">
            <v>No definido</v>
          </cell>
          <cell r="BR82" t="str">
            <v>No Definido</v>
          </cell>
          <cell r="BS82" t="str">
            <v>No definido</v>
          </cell>
          <cell r="BT82" t="str">
            <v>No</v>
          </cell>
          <cell r="BU82" t="str">
            <v/>
          </cell>
          <cell r="BV82" t="str">
            <v>DIANA WILCHES</v>
          </cell>
          <cell r="BW82" t="str">
            <v>Cédula de Ciudadanía</v>
          </cell>
          <cell r="BX82" t="str">
            <v>40049758</v>
          </cell>
          <cell r="BY82" t="str">
            <v>DIANA WILCHES</v>
          </cell>
          <cell r="BZ82" t="str">
            <v>Cédula de Ciudadanía</v>
          </cell>
          <cell r="CA82" t="str">
            <v>40049758</v>
          </cell>
          <cell r="CB82" t="str">
            <v>No definido</v>
          </cell>
          <cell r="CC82" t="str">
            <v>No definido</v>
          </cell>
          <cell r="CD82" t="str">
            <v>No definido</v>
          </cell>
          <cell r="CE82" t="str">
            <v>No</v>
          </cell>
          <cell r="CF82" t="str">
            <v>No definido</v>
          </cell>
          <cell r="CG82" t="str">
            <v>Calle 59 a Bis # 5 - 53 Piso 9 EDIFICIO LINK SIETE SESENTA
Bogotá
Distrito Capital de Bogotá
COLOMBIA</v>
          </cell>
          <cell r="CH82" t="str">
            <v>No definido</v>
          </cell>
          <cell r="CI82" t="str">
            <v>No definido</v>
          </cell>
          <cell r="CJ82" t="str">
            <v>No definido</v>
          </cell>
          <cell r="CK82" t="str">
            <v>No definido</v>
          </cell>
          <cell r="CL82" t="str">
            <v>No definido</v>
          </cell>
          <cell r="CM82" t="str">
            <v>No</v>
          </cell>
          <cell r="CN82" t="str">
            <v/>
          </cell>
          <cell r="CO82" t="str">
            <v/>
          </cell>
          <cell r="CP82" t="str">
            <v/>
          </cell>
          <cell r="CQ82" t="str">
            <v/>
          </cell>
        </row>
        <row r="83">
          <cell r="A83" t="str">
            <v>COMISIÓN DE REGULACIÓN DE COMUNICACIONES</v>
          </cell>
          <cell r="B83" t="str">
            <v>830,002,593</v>
          </cell>
          <cell r="C83" t="str">
            <v>Distrito Capital de Bogotá</v>
          </cell>
          <cell r="D83" t="str">
            <v>Bogotá</v>
          </cell>
          <cell r="E83" t="str">
            <v>Colombia, Bogotá,  Bogotá</v>
          </cell>
          <cell r="F83" t="str">
            <v>Nacional</v>
          </cell>
          <cell r="G83" t="str">
            <v>Tecnologías de la Información y las Comunicaciones</v>
          </cell>
          <cell r="H83" t="str">
            <v>Ejecutivo</v>
          </cell>
          <cell r="I83" t="str">
            <v>Centralizada</v>
          </cell>
          <cell r="J83" t="str">
            <v>CO1.BDOS.9273937</v>
          </cell>
          <cell r="K83" t="str">
            <v>CO1.PCCNTR.8857461</v>
          </cell>
          <cell r="L83" t="str">
            <v>CONTRATO 06 DE 2026</v>
          </cell>
          <cell r="M83" t="str">
            <v>En ejecución</v>
          </cell>
          <cell r="N83" t="str">
            <v>V1.81161700</v>
          </cell>
          <cell r="O83" t="str">
            <v>Prestación der servicios profesionales orientados a brindar soporte técnico para el análisis de solicitudes y apoyar la planeación; atribución; asignación; recuperación; administración y gestión de los recursos de identificación a cargo de la Comisión de Regulación de Comunicaciones CRC; en cumplimi</v>
          </cell>
          <cell r="P83" t="str">
            <v>Prestación de servicios</v>
          </cell>
          <cell r="Q83" t="str">
            <v>Contratación directa</v>
          </cell>
          <cell r="R83" t="str">
            <v>Servicios profesionales y apoyo a la gestión</v>
          </cell>
          <cell r="S83" t="str">
            <v>01/14/2026</v>
          </cell>
          <cell r="T83" t="str">
            <v>01/16/2026</v>
          </cell>
          <cell r="U83" t="str">
            <v>12/31/2026</v>
          </cell>
          <cell r="V83" t="str">
            <v>NXTWY.DLVY.6</v>
          </cell>
          <cell r="W83" t="str">
            <v>Cédula de Ciudadanía</v>
          </cell>
          <cell r="X83" t="str">
            <v>1019074760</v>
          </cell>
          <cell r="Y83" t="str">
            <v>SERGIO ANDRES BOHORQUEZ PERDOMO</v>
          </cell>
          <cell r="Z83" t="str">
            <v>No</v>
          </cell>
          <cell r="AA83" t="str">
            <v>No</v>
          </cell>
          <cell r="AB83" t="str">
            <v>No</v>
          </cell>
          <cell r="AC83" t="str">
            <v>No</v>
          </cell>
          <cell r="AD83" t="str">
            <v>No</v>
          </cell>
          <cell r="AE83" t="str">
            <v>No</v>
          </cell>
          <cell r="AF83" t="str">
            <v>No</v>
          </cell>
          <cell r="AG83" t="str">
            <v>Distribuido</v>
          </cell>
          <cell r="AH83" t="str">
            <v>Inversión</v>
          </cell>
          <cell r="AI83" t="str">
            <v>$50,222,800</v>
          </cell>
          <cell r="AJ83">
            <v>0</v>
          </cell>
          <cell r="AK83" t="str">
            <v>$37,121,200</v>
          </cell>
          <cell r="AL83" t="str">
            <v>$13,101,600</v>
          </cell>
          <cell r="AM83" t="str">
            <v>$37,121,200</v>
          </cell>
          <cell r="AN83">
            <v>0</v>
          </cell>
          <cell r="AO83">
            <v>0</v>
          </cell>
          <cell r="AP83" t="str">
            <v>$13,101,600</v>
          </cell>
          <cell r="AQ83" t="str">
            <v>$50,222,800</v>
          </cell>
          <cell r="AR83">
            <v>0</v>
          </cell>
          <cell r="AS83" t="str">
            <v>No</v>
          </cell>
          <cell r="AT83">
            <v>0</v>
          </cell>
          <cell r="AU83" t="str">
            <v>No aplica</v>
          </cell>
          <cell r="AV83" t="str">
            <v>No aplica</v>
          </cell>
          <cell r="AW83" t="str">
            <v>https://community.secop.gov.co/Public/Tendering/OpportunityDetail/Index?noticeUID=CO1.NTC.9487377&amp;isFromPublicArea=True&amp;isModal=true&amp;asPopupView=true</v>
          </cell>
          <cell r="AX83" t="str">
            <v>sergio andres bohorquez perdomo</v>
          </cell>
          <cell r="AY83" t="str">
            <v>CO</v>
          </cell>
          <cell r="AZ83" t="str">
            <v>No Definido</v>
          </cell>
          <cell r="BA83" t="str">
            <v>Sin Descripcion</v>
          </cell>
          <cell r="BB83" t="str">
            <v>Sin Descripcion</v>
          </cell>
          <cell r="BC83" t="str">
            <v>Hombre</v>
          </cell>
          <cell r="BD83" t="str">
            <v>$50,222,800</v>
          </cell>
          <cell r="BE83">
            <v>0</v>
          </cell>
          <cell r="BF83">
            <v>0</v>
          </cell>
          <cell r="BG83">
            <v>0</v>
          </cell>
          <cell r="BH83">
            <v>0</v>
          </cell>
          <cell r="BI83">
            <v>0</v>
          </cell>
          <cell r="BK83" t="str">
            <v>700,149,040</v>
          </cell>
          <cell r="BL83">
            <v>724320544</v>
          </cell>
          <cell r="BM83" t="str">
            <v/>
          </cell>
          <cell r="BO83" t="str">
            <v>Prestación der servicios profesionales orientados a brindar soporte técnico para el análisis de solicitudes y apoyar la planeación; atribución; asignación; recuperación; administración y gestión de los recursos de identificación a cargo de la Comisión de Regulación de Comunicaciones CRC; en cumplimiento de las directrices establecidas en el Plan de Acción 2026.</v>
          </cell>
          <cell r="BP83" t="str">
            <v>345 Dia(s)</v>
          </cell>
          <cell r="BQ83" t="str">
            <v>No definido</v>
          </cell>
          <cell r="BR83" t="str">
            <v>No Definido</v>
          </cell>
          <cell r="BS83" t="str">
            <v>No definido</v>
          </cell>
          <cell r="BT83" t="str">
            <v>No</v>
          </cell>
          <cell r="BU83" t="str">
            <v/>
          </cell>
          <cell r="BV83" t="str">
            <v>Zoila Consuelo Vargas Mesa</v>
          </cell>
          <cell r="BW83" t="str">
            <v>Cédula de Ciudadanía</v>
          </cell>
          <cell r="BX83" t="str">
            <v>46360403</v>
          </cell>
          <cell r="BY83" t="str">
            <v>Mariana Sarmiento Arguello</v>
          </cell>
          <cell r="BZ83" t="str">
            <v>Cédula de Ciudadanía</v>
          </cell>
          <cell r="CA83" t="str">
            <v>52862292</v>
          </cell>
          <cell r="CB83" t="str">
            <v>Zoila Consuelo Vargas Mesa</v>
          </cell>
          <cell r="CC83" t="str">
            <v>Cédula de Ciudadanía</v>
          </cell>
          <cell r="CD83" t="str">
            <v>46360403</v>
          </cell>
          <cell r="CE83" t="str">
            <v>No</v>
          </cell>
          <cell r="CF83" t="str">
            <v>No definido</v>
          </cell>
          <cell r="CG83" t="str">
            <v>Calle 59 a Bis # 5 - 53 Piso 9 EDIFICIO LINK SIETE SESENTA
Bogotá
Distrito Capital de Bogotá
COLOMBIA</v>
          </cell>
          <cell r="CH83" t="str">
            <v>No definido</v>
          </cell>
          <cell r="CI83" t="str">
            <v>No definido</v>
          </cell>
          <cell r="CJ83" t="str">
            <v>No definido</v>
          </cell>
          <cell r="CK83" t="str">
            <v>No definido</v>
          </cell>
          <cell r="CL83" t="str">
            <v>No definido</v>
          </cell>
          <cell r="CM83" t="str">
            <v>No</v>
          </cell>
          <cell r="CN83" t="str">
            <v/>
          </cell>
          <cell r="CO83" t="str">
            <v/>
          </cell>
          <cell r="CP83" t="str">
            <v/>
          </cell>
          <cell r="CQ83" t="str">
            <v/>
          </cell>
        </row>
        <row r="84">
          <cell r="A84" t="str">
            <v>COMISIÓN DE REGULACIÓN DE COMUNICACIONES</v>
          </cell>
          <cell r="B84" t="str">
            <v>830,002,593</v>
          </cell>
          <cell r="C84" t="str">
            <v>Distrito Capital de Bogotá</v>
          </cell>
          <cell r="D84" t="str">
            <v>Bogotá</v>
          </cell>
          <cell r="E84" t="str">
            <v>Colombia, Bogotá,  Bogotá</v>
          </cell>
          <cell r="F84" t="str">
            <v>Nacional</v>
          </cell>
          <cell r="G84" t="str">
            <v>Tecnologías de la Información y las Comunicaciones</v>
          </cell>
          <cell r="H84" t="str">
            <v>Ejecutivo</v>
          </cell>
          <cell r="I84" t="str">
            <v>Centralizada</v>
          </cell>
          <cell r="J84" t="str">
            <v>CO1.BDOS.9296502</v>
          </cell>
          <cell r="K84" t="str">
            <v>CO1.PCCNTR.8789955</v>
          </cell>
          <cell r="L84" t="str">
            <v>CONTRATO 09 DE 2026</v>
          </cell>
          <cell r="M84" t="str">
            <v>En ejecución</v>
          </cell>
          <cell r="N84" t="str">
            <v>V1.80111616</v>
          </cell>
          <cell r="O84" t="str">
            <v>Prestar apoyo técnico a la Coordinación de Gestión Administrativa y Financiera en el desarrollo de actividades operativas y administrativas; incluyendo la atención en la recepción institucional; la canalización de correspondencia y el soporte en procesos internos de Gestión Ambiental; bienes y servi</v>
          </cell>
          <cell r="P84" t="str">
            <v>Prestación de servicios</v>
          </cell>
          <cell r="Q84" t="str">
            <v>Contratación directa</v>
          </cell>
          <cell r="R84" t="str">
            <v>Servicios profesionales y apoyo a la gestión</v>
          </cell>
          <cell r="S84" t="str">
            <v>01/08/2026</v>
          </cell>
          <cell r="T84" t="str">
            <v>01/14/2026</v>
          </cell>
          <cell r="U84" t="str">
            <v>12/31/2026</v>
          </cell>
          <cell r="V84" t="str">
            <v>NXTWY.DLVY.6</v>
          </cell>
          <cell r="W84" t="str">
            <v>Cédula de Ciudadanía</v>
          </cell>
          <cell r="X84" t="str">
            <v>1014180931</v>
          </cell>
          <cell r="Y84" t="str">
            <v>karem julieth molina santana</v>
          </cell>
          <cell r="Z84" t="str">
            <v>No</v>
          </cell>
          <cell r="AA84" t="str">
            <v>No</v>
          </cell>
          <cell r="AB84" t="str">
            <v>No</v>
          </cell>
          <cell r="AC84" t="str">
            <v>No</v>
          </cell>
          <cell r="AD84" t="str">
            <v>No</v>
          </cell>
          <cell r="AE84" t="str">
            <v>No</v>
          </cell>
          <cell r="AF84" t="str">
            <v>No</v>
          </cell>
          <cell r="AG84" t="str">
            <v>Distribuido</v>
          </cell>
          <cell r="AH84" t="str">
            <v>Funcionamiento</v>
          </cell>
          <cell r="AI84" t="str">
            <v>$44,132,375</v>
          </cell>
          <cell r="AJ84">
            <v>0</v>
          </cell>
          <cell r="AK84" t="str">
            <v>$32,405,772</v>
          </cell>
          <cell r="AL84" t="str">
            <v>$11,726,603</v>
          </cell>
          <cell r="AM84" t="str">
            <v>$32,405,772</v>
          </cell>
          <cell r="AN84">
            <v>0</v>
          </cell>
          <cell r="AO84">
            <v>0</v>
          </cell>
          <cell r="AP84" t="str">
            <v>$11,726,603</v>
          </cell>
          <cell r="AQ84" t="str">
            <v>$44,132,375</v>
          </cell>
          <cell r="AR84">
            <v>0</v>
          </cell>
          <cell r="AS84" t="str">
            <v>No</v>
          </cell>
          <cell r="AT84">
            <v>0</v>
          </cell>
          <cell r="AU84" t="str">
            <v>No aplica</v>
          </cell>
          <cell r="AV84" t="str">
            <v>No aplica</v>
          </cell>
          <cell r="AW84" t="str">
            <v>https://community.secop.gov.co/Public/Tendering/OpportunityDetail/Index?noticeUID=CO1.NTC.9415528&amp;isFromPublicArea=True&amp;isModal=true&amp;asPopupView=true</v>
          </cell>
          <cell r="AX84" t="str">
            <v>Karem julieth Molina Santana</v>
          </cell>
          <cell r="AY84" t="str">
            <v>CO</v>
          </cell>
          <cell r="AZ84" t="str">
            <v>No Definido</v>
          </cell>
          <cell r="BA84" t="str">
            <v>Sin Descripcion</v>
          </cell>
          <cell r="BB84" t="str">
            <v>Sin Descripcion</v>
          </cell>
          <cell r="BC84" t="str">
            <v>Mujer</v>
          </cell>
          <cell r="BD84" t="str">
            <v>$44,132,375</v>
          </cell>
          <cell r="BE84">
            <v>0</v>
          </cell>
          <cell r="BF84">
            <v>0</v>
          </cell>
          <cell r="BG84">
            <v>0</v>
          </cell>
          <cell r="BH84">
            <v>0</v>
          </cell>
          <cell r="BI84">
            <v>0</v>
          </cell>
          <cell r="BK84" t="str">
            <v>700,149,040</v>
          </cell>
          <cell r="BL84">
            <v>720539865</v>
          </cell>
          <cell r="BM84" t="str">
            <v/>
          </cell>
          <cell r="BO84" t="str">
            <v>Prestar apoyo técnico a la Coordinación de Gestión Administrativa y Financiera en el desarrollo de actividades operativas y administrativas; incluyendo la atención en la recepción institucional; la canalización de correspondencia y el soporte en procesos internos de Gestión Ambiental; bienes y servicios; ejecutadas de manera autónoma; sin subordinación ni vínculo laboral con la entidad.
El uso de recursos físicos o tecnológicos de la entidad para la ejecución del contrato; será exclusivamente pa</v>
          </cell>
          <cell r="BP84" t="str">
            <v>345 Dia(s)</v>
          </cell>
          <cell r="BQ84" t="str">
            <v>No definido</v>
          </cell>
          <cell r="BR84" t="str">
            <v>No Definido</v>
          </cell>
          <cell r="BS84" t="str">
            <v>No definido</v>
          </cell>
          <cell r="BT84" t="str">
            <v>No</v>
          </cell>
          <cell r="BU84" t="str">
            <v/>
          </cell>
          <cell r="BV84" t="str">
            <v>DIANA WILCHES</v>
          </cell>
          <cell r="BW84" t="str">
            <v>Cédula de Ciudadanía</v>
          </cell>
          <cell r="BX84" t="str">
            <v>40049758</v>
          </cell>
          <cell r="BY84" t="str">
            <v>DIANA WILCHES</v>
          </cell>
          <cell r="BZ84" t="str">
            <v>Cédula de Ciudadanía</v>
          </cell>
          <cell r="CA84" t="str">
            <v>40049758</v>
          </cell>
          <cell r="CB84" t="str">
            <v>No definido</v>
          </cell>
          <cell r="CC84" t="str">
            <v>No definido</v>
          </cell>
          <cell r="CD84" t="str">
            <v>No definido</v>
          </cell>
          <cell r="CE84" t="str">
            <v>No</v>
          </cell>
          <cell r="CF84" t="str">
            <v>No definido</v>
          </cell>
          <cell r="CG84" t="str">
            <v>Calle 59 a Bis # 5 - 53 Piso 9 EDIFICIO LINK SIETE SESENTA
Bogotá
Distrito Capital de Bogotá
COLOMBIA</v>
          </cell>
          <cell r="CH84" t="str">
            <v>No definido</v>
          </cell>
          <cell r="CI84" t="str">
            <v>No definido</v>
          </cell>
          <cell r="CJ84" t="str">
            <v>No definido</v>
          </cell>
          <cell r="CK84" t="str">
            <v>No definido</v>
          </cell>
          <cell r="CL84" t="str">
            <v>No definido</v>
          </cell>
          <cell r="CM84" t="str">
            <v>No</v>
          </cell>
          <cell r="CN84" t="str">
            <v/>
          </cell>
          <cell r="CO84" t="str">
            <v/>
          </cell>
          <cell r="CP84" t="str">
            <v/>
          </cell>
          <cell r="CQ84" t="str">
            <v/>
          </cell>
        </row>
        <row r="85">
          <cell r="A85" t="str">
            <v>COMISIÓN DE REGULACIÓN DE COMUNICACIONES</v>
          </cell>
          <cell r="B85" t="str">
            <v>830,002,593</v>
          </cell>
          <cell r="C85" t="str">
            <v>Distrito Capital de Bogotá</v>
          </cell>
          <cell r="D85" t="str">
            <v>Bogotá</v>
          </cell>
          <cell r="E85" t="str">
            <v>Colombia, Bogotá,  Bogotá</v>
          </cell>
          <cell r="F85" t="str">
            <v>Nacional</v>
          </cell>
          <cell r="G85" t="str">
            <v>Tecnologías de la Información y las Comunicaciones</v>
          </cell>
          <cell r="H85" t="str">
            <v>Ejecutivo</v>
          </cell>
          <cell r="I85" t="str">
            <v>Centralizada</v>
          </cell>
          <cell r="J85" t="str">
            <v>CO1.BDOS.9321443</v>
          </cell>
          <cell r="K85" t="str">
            <v>CO1.PCCNTR.8894466</v>
          </cell>
          <cell r="L85" t="str">
            <v>CONTRATO 41 DE 2026</v>
          </cell>
          <cell r="M85" t="str">
            <v>En ejecución</v>
          </cell>
          <cell r="N85" t="str">
            <v>V1.81121500</v>
          </cell>
          <cell r="O85" t="str">
            <v>EL CONTRATISTA se compromete con LA COMISIÓN 
a la prestación de servicios profesionales altamente especializados para el análisis regulatorio y 
económico de mercados de telecomunicaciones y ecosistemas digitales; con énfasis en neutralidad de 
red; conectividad mayorista; esquemas de remuneración</v>
          </cell>
          <cell r="P85" t="str">
            <v>Prestación de servicios</v>
          </cell>
          <cell r="Q85" t="str">
            <v>Contratación directa</v>
          </cell>
          <cell r="R85" t="str">
            <v>Servicios profesionales y apoyo a la gestión</v>
          </cell>
          <cell r="S85" t="str">
            <v>01/15/2026</v>
          </cell>
          <cell r="T85" t="str">
            <v>01/23/2026</v>
          </cell>
          <cell r="U85" t="str">
            <v>12/31/2026</v>
          </cell>
          <cell r="V85" t="str">
            <v>NXTWY.DLVY.6</v>
          </cell>
          <cell r="W85" t="str">
            <v>Cédula de Ciudadanía</v>
          </cell>
          <cell r="X85" t="str">
            <v>79949417</v>
          </cell>
          <cell r="Y85" t="str">
            <v>Juan Manuel Roldan Perea</v>
          </cell>
          <cell r="Z85" t="str">
            <v>No</v>
          </cell>
          <cell r="AA85" t="str">
            <v>No</v>
          </cell>
          <cell r="AB85" t="str">
            <v>No</v>
          </cell>
          <cell r="AC85" t="str">
            <v>No</v>
          </cell>
          <cell r="AD85" t="str">
            <v>No</v>
          </cell>
          <cell r="AE85" t="str">
            <v>No</v>
          </cell>
          <cell r="AF85" t="str">
            <v>No</v>
          </cell>
          <cell r="AG85" t="str">
            <v>Distribuido</v>
          </cell>
          <cell r="AH85" t="str">
            <v>Inversión</v>
          </cell>
          <cell r="AI85" t="str">
            <v>$146,729,314</v>
          </cell>
          <cell r="AJ85">
            <v>0</v>
          </cell>
          <cell r="AK85" t="str">
            <v>$122,731,529</v>
          </cell>
          <cell r="AL85" t="str">
            <v>$23,997,785</v>
          </cell>
          <cell r="AM85" t="str">
            <v>$122,731,529</v>
          </cell>
          <cell r="AN85">
            <v>0</v>
          </cell>
          <cell r="AO85">
            <v>0</v>
          </cell>
          <cell r="AP85" t="str">
            <v>$23,997,785</v>
          </cell>
          <cell r="AQ85" t="str">
            <v>$146,729,314</v>
          </cell>
          <cell r="AR85">
            <v>0</v>
          </cell>
          <cell r="AS85" t="str">
            <v>No</v>
          </cell>
          <cell r="AT85">
            <v>0</v>
          </cell>
          <cell r="AU85" t="str">
            <v>No aplica</v>
          </cell>
          <cell r="AV85" t="str">
            <v>No aplica</v>
          </cell>
          <cell r="AW85" t="str">
            <v>https://community.secop.gov.co/Public/Tendering/OpportunityDetail/Index?noticeUID=CO1.NTC.9527021&amp;isFromPublicArea=True&amp;isModal=true&amp;asPopupView=true</v>
          </cell>
          <cell r="AX85" t="str">
            <v>Juan Manuel Roldan Perea</v>
          </cell>
          <cell r="AY85" t="str">
            <v>CO</v>
          </cell>
          <cell r="AZ85" t="str">
            <v>No Definido</v>
          </cell>
          <cell r="BA85" t="str">
            <v>Cédula de Ciudadanía</v>
          </cell>
          <cell r="BB85" t="str">
            <v>79949417</v>
          </cell>
          <cell r="BC85" t="str">
            <v>Hombre</v>
          </cell>
          <cell r="BD85" t="str">
            <v>$146,729,314</v>
          </cell>
          <cell r="BE85">
            <v>0</v>
          </cell>
          <cell r="BF85">
            <v>0</v>
          </cell>
          <cell r="BG85">
            <v>0</v>
          </cell>
          <cell r="BH85">
            <v>0</v>
          </cell>
          <cell r="BI85">
            <v>0</v>
          </cell>
          <cell r="BK85" t="str">
            <v>700,149,040</v>
          </cell>
          <cell r="BL85">
            <v>703636555</v>
          </cell>
          <cell r="BM85" t="str">
            <v/>
          </cell>
          <cell r="BO85" t="str">
            <v>EL CONTRATISTA se compromete con LA COMISIÓN 
a la prestación de servicios profesionales altamente especializados para el análisis regulatorio y 
económico de mercados de telecomunicaciones y ecosistemas digitales; con énfasis en neutralidad de 
red; conectividad mayorista; esquemas de remuneración móvil; servicios OTT y nuevas tecnologías de 
acceso de última milla; para apoyar la estructuración y desarrollo de los proyectos y estudios de las 
coordinaciones de Diseño Regulatorio y Prospectiva</v>
          </cell>
          <cell r="BP85" t="str">
            <v>11 Mes(es)</v>
          </cell>
          <cell r="BQ85" t="str">
            <v>No definido</v>
          </cell>
          <cell r="BR85" t="str">
            <v>No Definido</v>
          </cell>
          <cell r="BS85" t="str">
            <v>No definido</v>
          </cell>
          <cell r="BT85" t="str">
            <v>No</v>
          </cell>
          <cell r="BU85" t="str">
            <v/>
          </cell>
          <cell r="BV85" t="str">
            <v>No definido</v>
          </cell>
          <cell r="BW85" t="str">
            <v>No definido</v>
          </cell>
          <cell r="BX85" t="str">
            <v>No definido</v>
          </cell>
          <cell r="BY85" t="str">
            <v>Alejandra Arenas Pinto</v>
          </cell>
          <cell r="BZ85" t="str">
            <v>Cédula de Ciudadanía</v>
          </cell>
          <cell r="CA85" t="str">
            <v>1020749984</v>
          </cell>
          <cell r="CB85" t="str">
            <v>No definido</v>
          </cell>
          <cell r="CC85" t="str">
            <v>No definido</v>
          </cell>
          <cell r="CD85" t="str">
            <v>No definido</v>
          </cell>
          <cell r="CE85" t="str">
            <v>No</v>
          </cell>
          <cell r="CF85" t="str">
            <v>No definido</v>
          </cell>
          <cell r="CG85" t="str">
            <v>Calle 59 a Bis # 5 - 53 Piso 9 EDIFICIO LINK SIETE SESENTA
Bogotá
Distrito Capital de Bogotá
COLOMBIA</v>
          </cell>
          <cell r="CH85" t="str">
            <v>No definido</v>
          </cell>
          <cell r="CI85" t="str">
            <v>No definido</v>
          </cell>
          <cell r="CJ85" t="str">
            <v>No definido</v>
          </cell>
          <cell r="CK85" t="str">
            <v>No definido</v>
          </cell>
          <cell r="CL85" t="str">
            <v>No definido</v>
          </cell>
          <cell r="CM85" t="str">
            <v>No</v>
          </cell>
          <cell r="CN85" t="str">
            <v/>
          </cell>
          <cell r="CO85" t="str">
            <v/>
          </cell>
          <cell r="CP85" t="str">
            <v/>
          </cell>
          <cell r="CQ85" t="str">
            <v/>
          </cell>
        </row>
        <row r="86">
          <cell r="A86" t="str">
            <v>COMISIÓN DE REGULACIÓN DE COMUNICACIONES</v>
          </cell>
          <cell r="B86" t="str">
            <v>830,002,593</v>
          </cell>
          <cell r="C86" t="str">
            <v>Distrito Capital de Bogotá</v>
          </cell>
          <cell r="D86" t="str">
            <v>Bogotá</v>
          </cell>
          <cell r="E86" t="str">
            <v>Colombia, Bogotá,  Bogotá</v>
          </cell>
          <cell r="F86" t="str">
            <v>Nacional</v>
          </cell>
          <cell r="G86" t="str">
            <v>Tecnologías de la Información y las Comunicaciones</v>
          </cell>
          <cell r="H86" t="str">
            <v>Ejecutivo</v>
          </cell>
          <cell r="I86" t="str">
            <v>Centralizada</v>
          </cell>
          <cell r="J86" t="str">
            <v>CO1.BDOS.10100184</v>
          </cell>
          <cell r="K86" t="str">
            <v>CO1.PCCNTR.9464623</v>
          </cell>
          <cell r="L86" t="str">
            <v>CONTRATO 69 DE 2026</v>
          </cell>
          <cell r="M86" t="str">
            <v>En ejecución</v>
          </cell>
          <cell r="N86" t="str">
            <v>V1.76121900</v>
          </cell>
          <cell r="O86" t="str">
            <v>EL CONTRATISTA se obliga con LA COMISIÓN a la prestación del servicio de recolección; transporte; almacenamiento; tratamiento y/o disposición final de los residuos peligrosos incluidos RAEE; generados en la Comisión de Regulación de Comunicaciones; de conformidad con la Invitación Pública No. 71 de</v>
          </cell>
          <cell r="P86" t="str">
            <v>Prestación de servicios</v>
          </cell>
          <cell r="Q86" t="str">
            <v>Mínima cuantía</v>
          </cell>
          <cell r="R86" t="str">
            <v>Presupuesto inferior al 10% de la menor cuantía</v>
          </cell>
          <cell r="S86" t="str">
            <v>04/20/2026</v>
          </cell>
          <cell r="T86" t="str">
            <v>04/21/2026</v>
          </cell>
          <cell r="U86" t="str">
            <v>12/15/2026</v>
          </cell>
          <cell r="V86" t="str">
            <v>NXTWY.DLVY.6</v>
          </cell>
          <cell r="W86" t="str">
            <v>NIT</v>
          </cell>
          <cell r="X86" t="str">
            <v>900744149</v>
          </cell>
          <cell r="Y86" t="str">
            <v>G.E.A. DE COLOMBIA SAS ESP</v>
          </cell>
          <cell r="Z86" t="str">
            <v>No</v>
          </cell>
          <cell r="AA86" t="str">
            <v>Si</v>
          </cell>
          <cell r="AB86" t="str">
            <v>No</v>
          </cell>
          <cell r="AC86" t="str">
            <v>Si</v>
          </cell>
          <cell r="AD86" t="str">
            <v>Si</v>
          </cell>
          <cell r="AE86" t="str">
            <v>No</v>
          </cell>
          <cell r="AF86" t="str">
            <v>No</v>
          </cell>
          <cell r="AG86" t="str">
            <v>Distribuido</v>
          </cell>
          <cell r="AH86" t="str">
            <v>Funcionamiento</v>
          </cell>
          <cell r="AI86" t="str">
            <v>$418,050</v>
          </cell>
          <cell r="AJ86">
            <v>0</v>
          </cell>
          <cell r="AK86" t="str">
            <v>$72,600</v>
          </cell>
          <cell r="AL86" t="str">
            <v>$345,450</v>
          </cell>
          <cell r="AM86" t="str">
            <v>$72,600</v>
          </cell>
          <cell r="AN86">
            <v>0</v>
          </cell>
          <cell r="AO86">
            <v>0</v>
          </cell>
          <cell r="AP86" t="str">
            <v>$345,450</v>
          </cell>
          <cell r="AQ86" t="str">
            <v>$466,447</v>
          </cell>
          <cell r="AR86">
            <v>0</v>
          </cell>
          <cell r="AS86" t="str">
            <v>No</v>
          </cell>
          <cell r="AT86">
            <v>0</v>
          </cell>
          <cell r="AU86" t="str">
            <v>No aplica</v>
          </cell>
          <cell r="AV86" t="str">
            <v>No aplica</v>
          </cell>
          <cell r="AW86" t="str">
            <v>https://community.secop.gov.co/Public/Tendering/OpportunityDetail/Index?noticeUID=CO1.NTC.10128609&amp;isFromPublicArea=True&amp;isModal=true&amp;asPopupView=true</v>
          </cell>
          <cell r="AX86" t="str">
            <v>MAURICIO GONZALEZ</v>
          </cell>
          <cell r="AY86" t="str">
            <v>CO</v>
          </cell>
          <cell r="AZ86" t="str">
            <v>No Definido</v>
          </cell>
          <cell r="BA86" t="str">
            <v>Sin Descripcion</v>
          </cell>
          <cell r="BB86" t="str">
            <v>Sin Descripcion</v>
          </cell>
          <cell r="BC86" t="str">
            <v>Hombre</v>
          </cell>
          <cell r="BD86" t="str">
            <v>$418,050</v>
          </cell>
          <cell r="BE86">
            <v>0</v>
          </cell>
          <cell r="BF86">
            <v>0</v>
          </cell>
          <cell r="BG86">
            <v>0</v>
          </cell>
          <cell r="BH86">
            <v>0</v>
          </cell>
          <cell r="BI86">
            <v>0</v>
          </cell>
          <cell r="BK86" t="str">
            <v>700,149,040</v>
          </cell>
          <cell r="BL86">
            <v>702262205</v>
          </cell>
          <cell r="BM86" t="str">
            <v>2027 Jan 02 12:00:00 AM</v>
          </cell>
          <cell r="BN86">
            <v>47485</v>
          </cell>
          <cell r="BO86" t="str">
            <v>EL CONTRATISTA se obliga con LA COMISIÓN a la prestación del servicio de recolección; transporte; almacenamiento; tratamiento y/o disposición final de los residuos peligrosos incluidos RAEE; generados en la Comisión de Regulación de Comunicaciones; de conformidad con la Invitación Pública No. 71 de 2026 y la oferta presentada por el contratista que forman parte integral del presente contrato.</v>
          </cell>
          <cell r="BP86" t="str">
            <v>234 Dia(s)</v>
          </cell>
          <cell r="BQ86" t="str">
            <v>No definido</v>
          </cell>
          <cell r="BR86" t="str">
            <v>No Definido</v>
          </cell>
          <cell r="BS86" t="str">
            <v>No definido</v>
          </cell>
          <cell r="BT86" t="str">
            <v>No</v>
          </cell>
          <cell r="BU86" t="str">
            <v/>
          </cell>
          <cell r="BV86" t="str">
            <v>DIANA WILCHES</v>
          </cell>
          <cell r="BW86" t="str">
            <v>Cédula de Ciudadanía</v>
          </cell>
          <cell r="BX86" t="str">
            <v>40049758</v>
          </cell>
          <cell r="BY86" t="str">
            <v>Luis Jorge Guevara Suarez</v>
          </cell>
          <cell r="BZ86" t="str">
            <v>Cédula de Ciudadanía</v>
          </cell>
          <cell r="CA86" t="str">
            <v>servidores y contrat</v>
          </cell>
          <cell r="CB86" t="str">
            <v>No definido</v>
          </cell>
          <cell r="CC86" t="str">
            <v>No definido</v>
          </cell>
          <cell r="CD86" t="str">
            <v>No definido</v>
          </cell>
          <cell r="CE86" t="str">
            <v>No</v>
          </cell>
          <cell r="CF86" t="str">
            <v>No definido</v>
          </cell>
          <cell r="CG86" t="str">
            <v>Calle 59 a Bis # 5 - 53 Piso 9 EDIFICIO LINK SIETE SESENTA
Bogotá
Distrito Capital de Bogotá
COLOMBIA</v>
          </cell>
          <cell r="CH86" t="str">
            <v>No</v>
          </cell>
          <cell r="CI86" t="str">
            <v>No definido</v>
          </cell>
          <cell r="CJ86" t="str">
            <v>No definido</v>
          </cell>
          <cell r="CK86" t="str">
            <v>No definido</v>
          </cell>
          <cell r="CL86" t="str">
            <v>No definido</v>
          </cell>
          <cell r="CM86" t="str">
            <v>No</v>
          </cell>
          <cell r="CN86" t="str">
            <v/>
          </cell>
          <cell r="CO86" t="str">
            <v/>
          </cell>
          <cell r="CP86" t="str">
            <v/>
          </cell>
          <cell r="CQ86" t="str">
            <v/>
          </cell>
        </row>
        <row r="87">
          <cell r="A87" t="str">
            <v>COMISIÓN DE REGULACIÓN DE COMUNICACIONES</v>
          </cell>
          <cell r="B87" t="str">
            <v>830,002,593</v>
          </cell>
          <cell r="C87" t="str">
            <v>Distrito Capital de Bogotá</v>
          </cell>
          <cell r="D87" t="str">
            <v>Bogotá</v>
          </cell>
          <cell r="E87" t="str">
            <v>Colombia, Bogotá,  Bogotá</v>
          </cell>
          <cell r="F87" t="str">
            <v>Nacional</v>
          </cell>
          <cell r="G87" t="str">
            <v>Tecnologías de la Información y las Comunicaciones</v>
          </cell>
          <cell r="H87" t="str">
            <v>Ejecutivo</v>
          </cell>
          <cell r="I87" t="str">
            <v>Centralizada</v>
          </cell>
          <cell r="J87" t="str">
            <v>CO1.BDOS.10328574</v>
          </cell>
          <cell r="K87" t="str">
            <v>CO1.PCCNTR.9591538</v>
          </cell>
          <cell r="L87" t="str">
            <v>CONTRATO 75 DE 2026</v>
          </cell>
          <cell r="M87" t="str">
            <v>En ejecución</v>
          </cell>
          <cell r="N87" t="str">
            <v>V1.84131500</v>
          </cell>
          <cell r="O87" t="str">
            <v>EL CONTRATISTA se obliga con LA COMISIÓN al suministro de elementos de ferretería; materiales de construcción; herramientas y demás bienes de ferretería afines; que son requeridos para desarrollar las actividades de mantenimiento preventivo y correctivo locativo y de muebles de la Comisión de Regula</v>
          </cell>
          <cell r="P87" t="str">
            <v>Suministros</v>
          </cell>
          <cell r="Q87" t="str">
            <v>Mínima cuantía</v>
          </cell>
          <cell r="R87" t="str">
            <v>Presupuesto inferior al 10% de la menor cuantía</v>
          </cell>
          <cell r="S87" t="str">
            <v>06/25/2026</v>
          </cell>
          <cell r="T87" t="str">
            <v>07/02/2026</v>
          </cell>
          <cell r="U87" t="str">
            <v>11/15/2026</v>
          </cell>
          <cell r="V87" t="str">
            <v>NXTWY.DLVY.6</v>
          </cell>
          <cell r="W87" t="str">
            <v>NIT</v>
          </cell>
          <cell r="X87" t="str">
            <v>900520676</v>
          </cell>
          <cell r="Y87" t="str">
            <v>Verde Ecológico SAS</v>
          </cell>
          <cell r="Z87" t="str">
            <v>No</v>
          </cell>
          <cell r="AA87" t="str">
            <v>Si</v>
          </cell>
          <cell r="AB87" t="str">
            <v>No</v>
          </cell>
          <cell r="AC87" t="str">
            <v>No</v>
          </cell>
          <cell r="AD87" t="str">
            <v>No</v>
          </cell>
          <cell r="AE87" t="str">
            <v>No</v>
          </cell>
          <cell r="AF87" t="str">
            <v>No</v>
          </cell>
          <cell r="AG87" t="str">
            <v>Distribuido</v>
          </cell>
          <cell r="AH87" t="str">
            <v>Funcionamiento</v>
          </cell>
          <cell r="AI87" t="str">
            <v>$3,536,548</v>
          </cell>
          <cell r="AJ87">
            <v>0</v>
          </cell>
          <cell r="AK87" t="str">
            <v>$703,340</v>
          </cell>
          <cell r="AL87" t="str">
            <v>$2,833,208</v>
          </cell>
          <cell r="AM87" t="str">
            <v>$703,340</v>
          </cell>
          <cell r="AN87">
            <v>0</v>
          </cell>
          <cell r="AO87">
            <v>0</v>
          </cell>
          <cell r="AP87" t="str">
            <v>$2,833,208</v>
          </cell>
          <cell r="AQ87" t="str">
            <v>$3,536,548</v>
          </cell>
          <cell r="AR87">
            <v>0</v>
          </cell>
          <cell r="AS87" t="str">
            <v>No</v>
          </cell>
          <cell r="AT87">
            <v>0</v>
          </cell>
          <cell r="AU87" t="str">
            <v>No aplica</v>
          </cell>
          <cell r="AV87" t="str">
            <v>No aplica</v>
          </cell>
          <cell r="AW87" t="str">
            <v>https://community.secop.gov.co/Public/Tendering/OpportunityDetail/Index?noticeUID=CO1.NTC.10366033&amp;isFromPublicArea=True&amp;isModal=true&amp;asPopupView=true</v>
          </cell>
          <cell r="AX87" t="str">
            <v>Alvaro Páez Rodríguez</v>
          </cell>
          <cell r="AY87" t="str">
            <v>CO</v>
          </cell>
          <cell r="AZ87" t="str">
            <v>Avenida Suba No 103B - 59 Of 301</v>
          </cell>
          <cell r="BA87" t="str">
            <v>Sin Descripcion</v>
          </cell>
          <cell r="BB87" t="str">
            <v>Sin Descripcion</v>
          </cell>
          <cell r="BC87" t="str">
            <v>Hombre</v>
          </cell>
          <cell r="BD87" t="str">
            <v>$3,536,548</v>
          </cell>
          <cell r="BE87">
            <v>0</v>
          </cell>
          <cell r="BF87">
            <v>0</v>
          </cell>
          <cell r="BG87">
            <v>0</v>
          </cell>
          <cell r="BH87">
            <v>0</v>
          </cell>
          <cell r="BI87">
            <v>0</v>
          </cell>
          <cell r="BK87" t="str">
            <v>700,149,040</v>
          </cell>
          <cell r="BL87">
            <v>703148734</v>
          </cell>
          <cell r="BM87" t="str">
            <v/>
          </cell>
          <cell r="BO87" t="str">
            <v>EL CONTRATISTA se obliga con LA COMISIÓN al suministro de elementos de ferretería; materiales de construcción; herramientas y demás bienes de ferretería afines; que son requeridos para desarrollar las actividades de mantenimiento preventivo y correctivo locativo y de muebles de la Comisión de Regulación de Comunicaciones - CRC; de conformidad con la Invitación Pública No. 78 de 2026 y la oferta presentada por el contratista que forman parte integral del presente contrato</v>
          </cell>
          <cell r="BP87" t="str">
            <v>145 Dia(s)</v>
          </cell>
          <cell r="BQ87" t="str">
            <v>No definido</v>
          </cell>
          <cell r="BR87" t="str">
            <v>No Definido</v>
          </cell>
          <cell r="BS87" t="str">
            <v>No definido</v>
          </cell>
          <cell r="BT87" t="str">
            <v>No</v>
          </cell>
          <cell r="BU87" t="str">
            <v/>
          </cell>
          <cell r="BV87" t="str">
            <v>DIANA WILCHES</v>
          </cell>
          <cell r="BW87" t="str">
            <v>Cédula de Ciudadanía</v>
          </cell>
          <cell r="BX87" t="str">
            <v>40049758</v>
          </cell>
          <cell r="BY87" t="str">
            <v>Luis Jorge Guevara Suarez</v>
          </cell>
          <cell r="BZ87" t="str">
            <v>Cédula de Ciudadanía</v>
          </cell>
          <cell r="CA87" t="str">
            <v>servidores y contrat</v>
          </cell>
          <cell r="CB87" t="str">
            <v>No definido</v>
          </cell>
          <cell r="CC87" t="str">
            <v>No definido</v>
          </cell>
          <cell r="CD87" t="str">
            <v>No definido</v>
          </cell>
          <cell r="CE87" t="str">
            <v>No</v>
          </cell>
          <cell r="CF87" t="str">
            <v>No definido</v>
          </cell>
          <cell r="CG87" t="str">
            <v>Calle 59 a Bis # 5 - 53 Piso 9 EDIFICIO LINK SIETE SESENTA
Bogotá
Distrito Capital de Bogotá
COLOMBIA</v>
          </cell>
          <cell r="CH87" t="str">
            <v>No definido</v>
          </cell>
          <cell r="CI87" t="str">
            <v>No definido</v>
          </cell>
          <cell r="CJ87" t="str">
            <v>No definido</v>
          </cell>
          <cell r="CK87" t="str">
            <v>No definido</v>
          </cell>
          <cell r="CL87" t="str">
            <v>No definido</v>
          </cell>
          <cell r="CM87" t="str">
            <v>No</v>
          </cell>
          <cell r="CN87" t="str">
            <v/>
          </cell>
          <cell r="CO87" t="str">
            <v/>
          </cell>
          <cell r="CP87" t="str">
            <v/>
          </cell>
          <cell r="CQ87" t="str">
            <v/>
          </cell>
        </row>
        <row r="88">
          <cell r="A88" t="str">
            <v>COMISIÓN DE REGULACIÓN DE COMUNICACIONES</v>
          </cell>
          <cell r="B88" t="str">
            <v>830,002,593</v>
          </cell>
          <cell r="C88" t="str">
            <v>Distrito Capital de Bogotá</v>
          </cell>
          <cell r="D88" t="str">
            <v>Bogotá</v>
          </cell>
          <cell r="E88" t="str">
            <v>Colombia, Bogotá,  Bogotá</v>
          </cell>
          <cell r="F88" t="str">
            <v>Nacional</v>
          </cell>
          <cell r="G88" t="str">
            <v>Tecnologías de la Información y las Comunicaciones</v>
          </cell>
          <cell r="H88" t="str">
            <v>Ejecutivo</v>
          </cell>
          <cell r="I88" t="str">
            <v>Centralizada</v>
          </cell>
          <cell r="J88" t="str">
            <v>CO1.BDOS.9290826</v>
          </cell>
          <cell r="K88" t="str">
            <v>CO1.PCCNTR.8860689</v>
          </cell>
          <cell r="L88" t="str">
            <v>CONTRATO 15 DE 2026</v>
          </cell>
          <cell r="M88" t="str">
            <v>cedido</v>
          </cell>
          <cell r="N88" t="str">
            <v>V1.93151607</v>
          </cell>
          <cell r="O88" t="str">
            <v>brindar apoyo en el desarrollo de actividades orientadas al fortalecimiento del Sistema de Control Interno de la CRC; mediante la coordinación y ejecución de acciones relacionadas con la planeación; desarrollo y evaluación del Plan Anual de Auditoría de la vigencia 2026; aplicando metodologías basad</v>
          </cell>
          <cell r="P88" t="str">
            <v>Prestación de servicios</v>
          </cell>
          <cell r="Q88" t="str">
            <v>Contratación directa</v>
          </cell>
          <cell r="R88" t="str">
            <v>Servicios profesionales y apoyo a la gestión</v>
          </cell>
          <cell r="S88" t="str">
            <v>01/14/2026</v>
          </cell>
          <cell r="T88" t="str">
            <v>01/16/2026</v>
          </cell>
          <cell r="U88" t="str">
            <v>12/31/2026</v>
          </cell>
          <cell r="V88" t="str">
            <v>NXTWY.DLVY.6</v>
          </cell>
          <cell r="W88" t="str">
            <v>Cédula de Ciudadanía</v>
          </cell>
          <cell r="X88" t="str">
            <v>37394973</v>
          </cell>
          <cell r="Y88" t="str">
            <v>LADY GIOVANNA TORRES SANCHEZ</v>
          </cell>
          <cell r="Z88" t="str">
            <v>No</v>
          </cell>
          <cell r="AA88" t="str">
            <v>No</v>
          </cell>
          <cell r="AB88" t="str">
            <v>No</v>
          </cell>
          <cell r="AC88" t="str">
            <v>No</v>
          </cell>
          <cell r="AD88" t="str">
            <v>No</v>
          </cell>
          <cell r="AE88" t="str">
            <v>No</v>
          </cell>
          <cell r="AF88" t="str">
            <v>No</v>
          </cell>
          <cell r="AG88" t="str">
            <v>Distribuido</v>
          </cell>
          <cell r="AH88" t="str">
            <v>Funcionamiento</v>
          </cell>
          <cell r="AI88" t="str">
            <v>$74,750,000</v>
          </cell>
          <cell r="AJ88">
            <v>0</v>
          </cell>
          <cell r="AK88" t="str">
            <v>$55,250,000</v>
          </cell>
          <cell r="AL88" t="str">
            <v>$26,000,000</v>
          </cell>
          <cell r="AM88" t="str">
            <v>$48,750,000</v>
          </cell>
          <cell r="AN88">
            <v>0</v>
          </cell>
          <cell r="AO88">
            <v>0</v>
          </cell>
          <cell r="AP88" t="str">
            <v>$26,000,000</v>
          </cell>
          <cell r="AQ88" t="str">
            <v>$74,750,000</v>
          </cell>
          <cell r="AR88">
            <v>0</v>
          </cell>
          <cell r="AS88" t="str">
            <v>No</v>
          </cell>
          <cell r="AT88">
            <v>0</v>
          </cell>
          <cell r="AU88" t="str">
            <v>No aplica</v>
          </cell>
          <cell r="AV88" t="str">
            <v>No aplica</v>
          </cell>
          <cell r="AW88" t="str">
            <v>https://community.secop.gov.co/Public/Tendering/OpportunityDetail/Index?noticeUID=CO1.NTC.9488102&amp;isFromPublicArea=True&amp;isModal=true&amp;asPopupView=true</v>
          </cell>
          <cell r="AX88" t="str">
            <v>LADY GIOVANNA TORRES SANCHEZ</v>
          </cell>
          <cell r="AY88" t="str">
            <v>CO</v>
          </cell>
          <cell r="AZ88" t="str">
            <v>CALLE 13 C Bis # 83 46 Canela Apartamentos T2 Apto 712</v>
          </cell>
          <cell r="BA88" t="str">
            <v>Sin Descripcion</v>
          </cell>
          <cell r="BB88" t="str">
            <v>Sin Descripcion</v>
          </cell>
          <cell r="BC88" t="str">
            <v>Mujer</v>
          </cell>
          <cell r="BD88" t="str">
            <v>$74,750,000</v>
          </cell>
          <cell r="BE88">
            <v>0</v>
          </cell>
          <cell r="BF88">
            <v>0</v>
          </cell>
          <cell r="BG88">
            <v>0</v>
          </cell>
          <cell r="BH88">
            <v>0</v>
          </cell>
          <cell r="BI88">
            <v>0</v>
          </cell>
          <cell r="BJ88">
            <v>46142</v>
          </cell>
          <cell r="BK88" t="str">
            <v>700,149,040</v>
          </cell>
          <cell r="BL88">
            <v>725100010</v>
          </cell>
          <cell r="BM88" t="str">
            <v/>
          </cell>
          <cell r="BO88" t="str">
            <v>brindar apoyo en el desarrollo de actividades orientadas al fortalecimiento del Sistema de Control Interno de la CRC; mediante la coordinación y ejecución de acciones relacionadas con la planeación; desarrollo y evaluación del Plan Anual de Auditoría de la vigencia 2026; aplicando metodologías basadas en riesgos. Estas labores comprenderán la elaboración de informes de ley; la realización de auditorías internas y el seguimiento y evaluación de planes de mejoramiento; de conformidad (...)</v>
          </cell>
          <cell r="BP88" t="str">
            <v>345 Dia(s)</v>
          </cell>
          <cell r="BQ88" t="str">
            <v>No definido</v>
          </cell>
          <cell r="BR88" t="str">
            <v>No Definido</v>
          </cell>
          <cell r="BS88" t="str">
            <v>No definido</v>
          </cell>
          <cell r="BT88" t="str">
            <v>No</v>
          </cell>
          <cell r="BU88" t="str">
            <v/>
          </cell>
          <cell r="BV88" t="str">
            <v>Zoila Consuelo Vargas Mesa</v>
          </cell>
          <cell r="BW88" t="str">
            <v>Cédula de Ciudadanía</v>
          </cell>
          <cell r="BX88" t="str">
            <v>46360403</v>
          </cell>
          <cell r="BY88" t="str">
            <v>Yamith Lizcano</v>
          </cell>
          <cell r="BZ88" t="str">
            <v>Cédula de Ciudadanía</v>
          </cell>
          <cell r="CA88" t="str">
            <v>1032436894</v>
          </cell>
          <cell r="CB88" t="str">
            <v>No definido</v>
          </cell>
          <cell r="CC88" t="str">
            <v>No definido</v>
          </cell>
          <cell r="CD88" t="str">
            <v>No definido</v>
          </cell>
          <cell r="CE88" t="str">
            <v>No</v>
          </cell>
          <cell r="CF88" t="str">
            <v>No definido</v>
          </cell>
          <cell r="CG88" t="str">
            <v>Calle 59 a Bis # 5 - 53 Piso 9 EDIFICIO LINK SIETE SESENTA
Bogotá
Distrito Capital de Bogotá
COLOMBIA</v>
          </cell>
          <cell r="CH88" t="str">
            <v>No definido</v>
          </cell>
          <cell r="CI88" t="str">
            <v>No definido</v>
          </cell>
          <cell r="CJ88" t="str">
            <v>No definido</v>
          </cell>
          <cell r="CK88" t="str">
            <v>No definido</v>
          </cell>
          <cell r="CL88" t="str">
            <v>No definido</v>
          </cell>
          <cell r="CM88" t="str">
            <v>No</v>
          </cell>
          <cell r="CN88" t="str">
            <v/>
          </cell>
          <cell r="CO88" t="str">
            <v/>
          </cell>
          <cell r="CP88" t="str">
            <v/>
          </cell>
          <cell r="CQ88" t="str">
            <v/>
          </cell>
        </row>
        <row r="89">
          <cell r="A89" t="str">
            <v>COMISIÓN DE REGULACIÓN DE COMUNICACIONES</v>
          </cell>
          <cell r="B89" t="str">
            <v>830,002,593</v>
          </cell>
          <cell r="C89" t="str">
            <v>Distrito Capital de Bogotá</v>
          </cell>
          <cell r="D89" t="str">
            <v>Bogotá</v>
          </cell>
          <cell r="E89" t="str">
            <v>Colombia, Bogotá,  Bogotá</v>
          </cell>
          <cell r="F89" t="str">
            <v>Nacional</v>
          </cell>
          <cell r="G89" t="str">
            <v>Tecnologías de la Información y las Comunicaciones</v>
          </cell>
          <cell r="H89" t="str">
            <v>Ejecutivo</v>
          </cell>
          <cell r="I89" t="str">
            <v>Centralizada</v>
          </cell>
          <cell r="J89" t="str">
            <v>CO1.BDOS.9272785</v>
          </cell>
          <cell r="K89" t="str">
            <v>CO1.PCCNTR.9321961</v>
          </cell>
          <cell r="L89" t="str">
            <v>CONTRATO 57 DE 2026</v>
          </cell>
          <cell r="M89" t="str">
            <v>En ejecución</v>
          </cell>
          <cell r="N89" t="str">
            <v>V1.90121502</v>
          </cell>
          <cell r="O89" t="str">
            <v>Contratar el suministro de tiquetes aéreos nacionales e internacionales necesarios para el desarrollo de las actividades de la Comisión de Regulación de Comunicaciones (CRC); a través de una agencia de viajes.</v>
          </cell>
          <cell r="P89" t="str">
            <v>Suministros</v>
          </cell>
          <cell r="Q89" t="str">
            <v>Selección abreviada subasta inversa</v>
          </cell>
          <cell r="R89" t="str">
            <v>Suministro de bienes y servicios de características técnicas uniformes y común utilización</v>
          </cell>
          <cell r="S89" t="str">
            <v>02/05/2026</v>
          </cell>
          <cell r="T89" t="str">
            <v>02/09/2026</v>
          </cell>
          <cell r="U89" t="str">
            <v>12/31/2026</v>
          </cell>
          <cell r="V89" t="str">
            <v>NXTWY.DLVY.6</v>
          </cell>
          <cell r="W89" t="str">
            <v>NIT</v>
          </cell>
          <cell r="X89" t="str">
            <v>8000034428</v>
          </cell>
          <cell r="Y89" t="str">
            <v>NOVATOURS LTDA</v>
          </cell>
          <cell r="Z89" t="str">
            <v>No</v>
          </cell>
          <cell r="AA89" t="str">
            <v>Si</v>
          </cell>
          <cell r="AB89" t="str">
            <v>No</v>
          </cell>
          <cell r="AC89" t="str">
            <v>Si</v>
          </cell>
          <cell r="AD89" t="str">
            <v>No</v>
          </cell>
          <cell r="AE89" t="str">
            <v>No</v>
          </cell>
          <cell r="AF89" t="str">
            <v>No</v>
          </cell>
          <cell r="AG89" t="str">
            <v>Distribuido</v>
          </cell>
          <cell r="AH89" t="str">
            <v>Inversión</v>
          </cell>
          <cell r="AI89" t="str">
            <v>$392,500,000</v>
          </cell>
          <cell r="AJ89">
            <v>0</v>
          </cell>
          <cell r="AK89" t="str">
            <v>$307,645,032</v>
          </cell>
          <cell r="AL89" t="str">
            <v>$84,854,968</v>
          </cell>
          <cell r="AM89" t="str">
            <v>$307,645,032</v>
          </cell>
          <cell r="AN89">
            <v>0</v>
          </cell>
          <cell r="AO89">
            <v>0</v>
          </cell>
          <cell r="AP89" t="str">
            <v>$84,854,968</v>
          </cell>
          <cell r="AQ89" t="str">
            <v>$392,500,000</v>
          </cell>
          <cell r="AR89">
            <v>0</v>
          </cell>
          <cell r="AS89" t="str">
            <v>No</v>
          </cell>
          <cell r="AT89">
            <v>0</v>
          </cell>
          <cell r="AU89" t="str">
            <v>No aplica</v>
          </cell>
          <cell r="AV89" t="str">
            <v>No aplica</v>
          </cell>
          <cell r="AW89" t="str">
            <v>https://community.secop.gov.co/Public/Tendering/OpportunityDetail/Index?noticeUID=CO1.NTC.9510142&amp;isFromPublicArea=True&amp;isModal=true&amp;asPopupView=true</v>
          </cell>
          <cell r="AX89" t="str">
            <v>NOVATOURS LTDA</v>
          </cell>
          <cell r="AY89" t="str">
            <v>CO</v>
          </cell>
          <cell r="AZ89" t="str">
            <v>No Definido</v>
          </cell>
          <cell r="BA89" t="str">
            <v>NIT</v>
          </cell>
          <cell r="BB89" t="str">
            <v>8000034428</v>
          </cell>
          <cell r="BC89" t="str">
            <v>Hombre</v>
          </cell>
          <cell r="BD89" t="str">
            <v>$392,500,000</v>
          </cell>
          <cell r="BE89">
            <v>0</v>
          </cell>
          <cell r="BF89">
            <v>0</v>
          </cell>
          <cell r="BG89">
            <v>0</v>
          </cell>
          <cell r="BH89">
            <v>0</v>
          </cell>
          <cell r="BI89">
            <v>0</v>
          </cell>
          <cell r="BK89" t="str">
            <v>700,149,040</v>
          </cell>
          <cell r="BL89">
            <v>700144066</v>
          </cell>
          <cell r="BM89" t="str">
            <v>2026 Dec 31 12:00:00 AM</v>
          </cell>
          <cell r="BN89">
            <v>47603</v>
          </cell>
          <cell r="BO89" t="str">
            <v>Contratar el suministro de tiquetes aéreos nacionales e internacionales necesarios para el desarrollo de las actividades de la Comisión de Regulación de Comunicaciones (CRC); a través de una agencia de viajes.</v>
          </cell>
          <cell r="BP89" t="str">
            <v>330 Dia(s)</v>
          </cell>
          <cell r="BQ89" t="str">
            <v>No definido</v>
          </cell>
          <cell r="BR89" t="str">
            <v>No Definido</v>
          </cell>
          <cell r="BS89" t="str">
            <v>No definido</v>
          </cell>
          <cell r="BT89" t="str">
            <v>No</v>
          </cell>
          <cell r="BU89" t="str">
            <v/>
          </cell>
          <cell r="BV89" t="str">
            <v>No definido</v>
          </cell>
          <cell r="BW89" t="str">
            <v>No definido</v>
          </cell>
          <cell r="BX89" t="str">
            <v>No definido</v>
          </cell>
          <cell r="BY89" t="str">
            <v>Alba Yamile Mateus Parra</v>
          </cell>
          <cell r="BZ89" t="str">
            <v>Cédula de Ciudadanía</v>
          </cell>
          <cell r="CA89" t="str">
            <v>46676269</v>
          </cell>
          <cell r="CB89" t="str">
            <v>No definido</v>
          </cell>
          <cell r="CC89" t="str">
            <v>No definido</v>
          </cell>
          <cell r="CD89" t="str">
            <v>No definido</v>
          </cell>
          <cell r="CE89" t="str">
            <v>No</v>
          </cell>
          <cell r="CF89" t="str">
            <v>No definido</v>
          </cell>
          <cell r="CG89" t="str">
            <v>Calle 59 a Bis # 5 - 53 Piso 9 EDIFICIO LINK SIETE SESENTA
Bogotá
Distrito Capital de Bogotá
COLOMBIA</v>
          </cell>
          <cell r="CH89" t="str">
            <v>No definido</v>
          </cell>
          <cell r="CI89" t="str">
            <v>No definido</v>
          </cell>
          <cell r="CJ89" t="str">
            <v>No definido</v>
          </cell>
          <cell r="CK89" t="str">
            <v>No definido</v>
          </cell>
          <cell r="CL89" t="str">
            <v>No definido</v>
          </cell>
          <cell r="CM89" t="str">
            <v>No</v>
          </cell>
          <cell r="CN89" t="str">
            <v/>
          </cell>
          <cell r="CO89" t="str">
            <v/>
          </cell>
          <cell r="CP89" t="str">
            <v/>
          </cell>
          <cell r="CQ89" t="str">
            <v/>
          </cell>
        </row>
        <row r="90">
          <cell r="A90" t="str">
            <v>COMISIÓN DE REGULACIÓN DE COMUNICACIONES</v>
          </cell>
          <cell r="B90" t="str">
            <v>830,002,593</v>
          </cell>
          <cell r="C90" t="str">
            <v>Distrito Capital de Bogotá</v>
          </cell>
          <cell r="D90" t="str">
            <v>Bogotá</v>
          </cell>
          <cell r="E90" t="str">
            <v>Colombia, Bogotá,  Bogotá</v>
          </cell>
          <cell r="F90" t="str">
            <v>Nacional</v>
          </cell>
          <cell r="G90" t="str">
            <v>Tecnologías de la Información y las Comunicaciones</v>
          </cell>
          <cell r="H90" t="str">
            <v>Ejecutivo</v>
          </cell>
          <cell r="I90" t="str">
            <v>Centralizada</v>
          </cell>
          <cell r="J90" t="str">
            <v>CO1.BDOS.10099785</v>
          </cell>
          <cell r="K90" t="str">
            <v>CO1.PCCNTR.9450304</v>
          </cell>
          <cell r="L90" t="str">
            <v>CONTRATO 68 DE 2026</v>
          </cell>
          <cell r="M90" t="str">
            <v>En ejecución</v>
          </cell>
          <cell r="N90" t="str">
            <v>V1.46191508</v>
          </cell>
          <cell r="O90" t="str">
            <v>prestar el servicio de inspección; pruebas y mantenimiento preventivo y correctivo; con suministro de repuestos a todo costo; para el sistema de detección de incendios ubicados en la sede de la Comisión de Regulación de Comunicaciones - CRC; de acuerdo con las especificaciones técnicas descritas en</v>
          </cell>
          <cell r="P90" t="str">
            <v>Prestación de servicios</v>
          </cell>
          <cell r="Q90" t="str">
            <v>Mínima cuantía</v>
          </cell>
          <cell r="R90" t="str">
            <v>Presupuesto inferior al 10% de la menor cuantía</v>
          </cell>
          <cell r="S90" t="str">
            <v>04/14/2026</v>
          </cell>
          <cell r="T90" t="str">
            <v>04/15/2026</v>
          </cell>
          <cell r="U90" t="str">
            <v>12/15/2026</v>
          </cell>
          <cell r="V90" t="str">
            <v>NXTWY.DLVY.6</v>
          </cell>
          <cell r="W90" t="str">
            <v>NIT</v>
          </cell>
          <cell r="X90" t="str">
            <v>900064651</v>
          </cell>
          <cell r="Y90" t="str">
            <v>INELMED</v>
          </cell>
          <cell r="Z90" t="str">
            <v>No</v>
          </cell>
          <cell r="AA90" t="str">
            <v>Si</v>
          </cell>
          <cell r="AB90" t="str">
            <v>No</v>
          </cell>
          <cell r="AC90" t="str">
            <v>Si</v>
          </cell>
          <cell r="AD90" t="str">
            <v>No</v>
          </cell>
          <cell r="AE90" t="str">
            <v>No</v>
          </cell>
          <cell r="AF90" t="str">
            <v>No</v>
          </cell>
          <cell r="AG90" t="str">
            <v>Distribuido</v>
          </cell>
          <cell r="AH90" t="str">
            <v>Funcionamiento</v>
          </cell>
          <cell r="AI90" t="str">
            <v>$7,587,000</v>
          </cell>
          <cell r="AJ90">
            <v>0</v>
          </cell>
          <cell r="AK90" t="str">
            <v>$3,793,500</v>
          </cell>
          <cell r="AL90" t="str">
            <v>$3,793,500</v>
          </cell>
          <cell r="AM90" t="str">
            <v>$3,793,500</v>
          </cell>
          <cell r="AN90">
            <v>0</v>
          </cell>
          <cell r="AO90">
            <v>0</v>
          </cell>
          <cell r="AP90" t="str">
            <v>$3,793,500</v>
          </cell>
          <cell r="AQ90" t="str">
            <v>$18,622,098</v>
          </cell>
          <cell r="AR90">
            <v>0</v>
          </cell>
          <cell r="AS90" t="str">
            <v>No</v>
          </cell>
          <cell r="AT90">
            <v>0</v>
          </cell>
          <cell r="AU90" t="str">
            <v>No aplica</v>
          </cell>
          <cell r="AV90" t="str">
            <v>No aplica</v>
          </cell>
          <cell r="AW90" t="str">
            <v>https://community.secop.gov.co/Public/Tendering/OpportunityDetail/Index?noticeUID=CO1.NTC.10128576&amp;isFromPublicArea=True&amp;isModal=true&amp;asPopupView=true</v>
          </cell>
          <cell r="AX90" t="str">
            <v>Juan lopez</v>
          </cell>
          <cell r="AY90" t="str">
            <v>CO</v>
          </cell>
          <cell r="AZ90" t="str">
            <v>No Definido</v>
          </cell>
          <cell r="BA90" t="str">
            <v>Sin Descripcion</v>
          </cell>
          <cell r="BB90" t="str">
            <v>Sin Descripcion</v>
          </cell>
          <cell r="BC90" t="str">
            <v>Hombre</v>
          </cell>
          <cell r="BD90" t="str">
            <v>$7,587,000</v>
          </cell>
          <cell r="BE90">
            <v>0</v>
          </cell>
          <cell r="BF90">
            <v>0</v>
          </cell>
          <cell r="BG90">
            <v>0</v>
          </cell>
          <cell r="BH90">
            <v>0</v>
          </cell>
          <cell r="BI90">
            <v>0</v>
          </cell>
          <cell r="BK90" t="str">
            <v>700,149,040</v>
          </cell>
          <cell r="BL90">
            <v>718648447</v>
          </cell>
          <cell r="BM90" t="str">
            <v>2026 Dec 15 12:00:00 AM</v>
          </cell>
          <cell r="BN90">
            <v>47588</v>
          </cell>
          <cell r="BO90" t="str">
            <v>prestar el servicio de inspección; pruebas y mantenimiento preventivo y correctivo; con suministro de repuestos a todo costo; para el sistema de detección de incendios ubicados en la sede de la Comisión de Regulación de Comunicaciones - CRC; de acuerdo con las especificaciones técnicas descritas en el presente proceso.</v>
          </cell>
          <cell r="BP90" t="str">
            <v>240 Dia(s)</v>
          </cell>
          <cell r="BQ90" t="str">
            <v>No definido</v>
          </cell>
          <cell r="BR90" t="str">
            <v>No Definido</v>
          </cell>
          <cell r="BS90" t="str">
            <v>No definido</v>
          </cell>
          <cell r="BT90" t="str">
            <v>No</v>
          </cell>
          <cell r="BU90" t="str">
            <v/>
          </cell>
          <cell r="BV90" t="str">
            <v>No definido</v>
          </cell>
          <cell r="BW90" t="str">
            <v>No definido</v>
          </cell>
          <cell r="BX90" t="str">
            <v>No definido</v>
          </cell>
          <cell r="BY90" t="str">
            <v>Luis Jorge Guevara Suarez</v>
          </cell>
          <cell r="BZ90" t="str">
            <v>Cédula de Ciudadanía</v>
          </cell>
          <cell r="CA90" t="str">
            <v>servidores y contrat</v>
          </cell>
          <cell r="CB90" t="str">
            <v>No definido</v>
          </cell>
          <cell r="CC90" t="str">
            <v>No definido</v>
          </cell>
          <cell r="CD90" t="str">
            <v>No definido</v>
          </cell>
          <cell r="CE90" t="str">
            <v>No</v>
          </cell>
          <cell r="CF90" t="str">
            <v>No definido</v>
          </cell>
          <cell r="CG90" t="str">
            <v>Calle 59 a Bis # 5 - 53 Piso 9 EDIFICIO LINK SIETE SESENTA
Bogotá
Distrito Capital de Bogotá
COLOMBIA</v>
          </cell>
          <cell r="CH90" t="str">
            <v>No definido</v>
          </cell>
          <cell r="CI90" t="str">
            <v>No definido</v>
          </cell>
          <cell r="CJ90" t="str">
            <v>No definido</v>
          </cell>
          <cell r="CK90" t="str">
            <v>No definido</v>
          </cell>
          <cell r="CL90" t="str">
            <v>No definido</v>
          </cell>
          <cell r="CM90" t="str">
            <v>No</v>
          </cell>
          <cell r="CN90" t="str">
            <v/>
          </cell>
          <cell r="CO90" t="str">
            <v/>
          </cell>
          <cell r="CP90" t="str">
            <v/>
          </cell>
          <cell r="CQ90" t="str">
            <v/>
          </cell>
        </row>
        <row r="91">
          <cell r="A91" t="str">
            <v>COMISIÓN DE REGULACIÓN DE COMUNICACIONES</v>
          </cell>
          <cell r="B91" t="str">
            <v>830,002,593</v>
          </cell>
          <cell r="C91" t="str">
            <v>Distrito Capital de Bogotá</v>
          </cell>
          <cell r="D91" t="str">
            <v>Bogotá</v>
          </cell>
          <cell r="E91" t="str">
            <v>Colombia, Bogotá,  Bogotá</v>
          </cell>
          <cell r="F91" t="str">
            <v>Nacional</v>
          </cell>
          <cell r="G91" t="str">
            <v>Tecnologías de la Información y las Comunicaciones</v>
          </cell>
          <cell r="H91" t="str">
            <v>Ejecutivo</v>
          </cell>
          <cell r="I91" t="str">
            <v>Centralizada</v>
          </cell>
          <cell r="J91" t="str">
            <v>CO1.BDOS.9312674</v>
          </cell>
          <cell r="K91" t="str">
            <v>CO1.PCCNTR.8880320</v>
          </cell>
          <cell r="L91" t="str">
            <v>CONTRATO 27 DE 2026</v>
          </cell>
          <cell r="M91" t="str">
            <v>En ejecución</v>
          </cell>
          <cell r="N91" t="str">
            <v>V1.81111508</v>
          </cell>
          <cell r="O91"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v>
          </cell>
          <cell r="P91" t="str">
            <v>Prestación de servicios</v>
          </cell>
          <cell r="Q91" t="str">
            <v>Contratación directa</v>
          </cell>
          <cell r="R91" t="str">
            <v>Servicios profesionales y apoyo a la gestión</v>
          </cell>
          <cell r="S91" t="str">
            <v>01/15/2026</v>
          </cell>
          <cell r="T91" t="str">
            <v>01/16/2026</v>
          </cell>
          <cell r="U91" t="str">
            <v>12/31/2026</v>
          </cell>
          <cell r="V91" t="str">
            <v>NXTWY.DLVY.6</v>
          </cell>
          <cell r="W91" t="str">
            <v>Cédula de Ciudadanía</v>
          </cell>
          <cell r="X91" t="str">
            <v>79652208</v>
          </cell>
          <cell r="Y91" t="str">
            <v>JAIRO ORLANDO MONTEALEGRE MOTTA</v>
          </cell>
          <cell r="Z91" t="str">
            <v>No</v>
          </cell>
          <cell r="AA91" t="str">
            <v>No</v>
          </cell>
          <cell r="AB91" t="str">
            <v>No</v>
          </cell>
          <cell r="AC91" t="str">
            <v>No</v>
          </cell>
          <cell r="AD91" t="str">
            <v>No</v>
          </cell>
          <cell r="AE91" t="str">
            <v>No</v>
          </cell>
          <cell r="AF91" t="str">
            <v>No</v>
          </cell>
          <cell r="AG91" t="str">
            <v>Distribuido</v>
          </cell>
          <cell r="AH91" t="str">
            <v>Inversión</v>
          </cell>
          <cell r="AI91" t="str">
            <v>$157,074,000</v>
          </cell>
          <cell r="AJ91">
            <v>0</v>
          </cell>
          <cell r="AK91" t="str">
            <v>$116,098,168</v>
          </cell>
          <cell r="AL91" t="str">
            <v>$40,975,832</v>
          </cell>
          <cell r="AM91" t="str">
            <v>$116,098,168</v>
          </cell>
          <cell r="AN91">
            <v>0</v>
          </cell>
          <cell r="AO91">
            <v>0</v>
          </cell>
          <cell r="AP91" t="str">
            <v>$40,975,832</v>
          </cell>
          <cell r="AQ91" t="str">
            <v>$157,074,000</v>
          </cell>
          <cell r="AR91">
            <v>0</v>
          </cell>
          <cell r="AS91" t="str">
            <v>No</v>
          </cell>
          <cell r="AT91">
            <v>0</v>
          </cell>
          <cell r="AU91" t="str">
            <v>No aplica</v>
          </cell>
          <cell r="AV91" t="str">
            <v>No aplica</v>
          </cell>
          <cell r="AW91" t="str">
            <v>https://community.secop.gov.co/Public/Tendering/OpportunityDetail/Index?noticeUID=CO1.NTC.9511943&amp;isFromPublicArea=True&amp;isModal=true&amp;asPopupView=true</v>
          </cell>
          <cell r="AX91" t="str">
            <v>Jairo Orlando Montealegre Motta</v>
          </cell>
          <cell r="AY91" t="str">
            <v>CO</v>
          </cell>
          <cell r="AZ91" t="str">
            <v>Cll 50 N 15 - 45</v>
          </cell>
          <cell r="BA91" t="str">
            <v>Sin Descripcion</v>
          </cell>
          <cell r="BB91" t="str">
            <v>79652208</v>
          </cell>
          <cell r="BC91" t="str">
            <v>No Definido</v>
          </cell>
          <cell r="BD91" t="str">
            <v>$157,074,000</v>
          </cell>
          <cell r="BE91">
            <v>0</v>
          </cell>
          <cell r="BF91">
            <v>0</v>
          </cell>
          <cell r="BG91">
            <v>0</v>
          </cell>
          <cell r="BH91">
            <v>0</v>
          </cell>
          <cell r="BI91">
            <v>0</v>
          </cell>
          <cell r="BK91" t="str">
            <v>700,149,040</v>
          </cell>
          <cell r="BL91">
            <v>702483033</v>
          </cell>
          <cell r="BM91" t="str">
            <v/>
          </cell>
          <cell r="BO91" t="str">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y al Plan de Acción año 2026; en cumplimiento de la Política de Gobierno Digi</v>
          </cell>
          <cell r="BP91" t="str">
            <v>345 Dia(s)</v>
          </cell>
          <cell r="BQ91" t="str">
            <v>No definido</v>
          </cell>
          <cell r="BR91" t="str">
            <v>No Definido</v>
          </cell>
          <cell r="BS91" t="str">
            <v>No definido</v>
          </cell>
          <cell r="BT91" t="str">
            <v>No</v>
          </cell>
          <cell r="BU91" t="str">
            <v/>
          </cell>
          <cell r="BV91" t="str">
            <v>Zoila Consuelo Vargas Mesa</v>
          </cell>
          <cell r="BW91" t="str">
            <v>Cédula de Ciudadanía</v>
          </cell>
          <cell r="BX91" t="str">
            <v>46360403</v>
          </cell>
          <cell r="BY91" t="str">
            <v>INGRID PICON CARRASCAL</v>
          </cell>
          <cell r="BZ91" t="str">
            <v>Cédula de Ciudadanía</v>
          </cell>
          <cell r="CA91" t="str">
            <v>60372503</v>
          </cell>
          <cell r="CB91" t="str">
            <v>No definido</v>
          </cell>
          <cell r="CC91" t="str">
            <v>No definido</v>
          </cell>
          <cell r="CD91" t="str">
            <v>No definido</v>
          </cell>
          <cell r="CE91" t="str">
            <v>No</v>
          </cell>
          <cell r="CF91" t="str">
            <v>No definido</v>
          </cell>
          <cell r="CG91" t="str">
            <v>Calle 59 a Bis # 5 - 53 Piso 9 EDIFICIO LINK SIETE SESENTA
Bogotá
Distrito Capital de Bogotá
COLOMBIA</v>
          </cell>
          <cell r="CH91" t="str">
            <v>No definido</v>
          </cell>
          <cell r="CI91" t="str">
            <v>No definido</v>
          </cell>
          <cell r="CJ91" t="str">
            <v>No definido</v>
          </cell>
          <cell r="CK91" t="str">
            <v>No definido</v>
          </cell>
          <cell r="CL91" t="str">
            <v>No definido</v>
          </cell>
          <cell r="CM91" t="str">
            <v>No</v>
          </cell>
          <cell r="CN91" t="str">
            <v/>
          </cell>
          <cell r="CO91" t="str">
            <v/>
          </cell>
          <cell r="CP91" t="str">
            <v/>
          </cell>
          <cell r="CQ91" t="str">
            <v/>
          </cell>
        </row>
        <row r="92">
          <cell r="A92" t="str">
            <v>COMISIÓN DE REGULACIÓN DE COMUNICACIONES</v>
          </cell>
          <cell r="B92" t="str">
            <v>830,002,593</v>
          </cell>
          <cell r="C92" t="str">
            <v>Distrito Capital de Bogotá</v>
          </cell>
          <cell r="D92" t="str">
            <v>Bogotá</v>
          </cell>
          <cell r="E92" t="str">
            <v>Colombia, Bogotá,  Bogotá</v>
          </cell>
          <cell r="F92" t="str">
            <v>Nacional</v>
          </cell>
          <cell r="G92" t="str">
            <v>Tecnologías de la Información y las Comunicaciones</v>
          </cell>
          <cell r="H92" t="str">
            <v>Ejecutivo</v>
          </cell>
          <cell r="I92" t="str">
            <v>Centralizada</v>
          </cell>
          <cell r="J92" t="str">
            <v>CO1.BDOS.10494670</v>
          </cell>
          <cell r="K92" t="str">
            <v>CO1.PCCNTR.9794404</v>
          </cell>
          <cell r="L92" t="str">
            <v>CONTRATO 90 DE 2026</v>
          </cell>
          <cell r="M92" t="str">
            <v>En ejecución</v>
          </cell>
          <cell r="N92" t="str">
            <v>V1.53101602</v>
          </cell>
          <cell r="O92" t="str">
            <v>EL CONTRATISTA se obliga con LA COMISIÓN a la entrega de bonos de dotación canjeables única y exclusivamente para la compra de vestuario y calzado para los funcionarios de la Comisión de Regulación de Comunicaciones - CRC; que tengan o adquieran el derecho en la vigencia 2026; de conformidad con la</v>
          </cell>
          <cell r="P92" t="str">
            <v>Suministros</v>
          </cell>
          <cell r="Q92" t="str">
            <v>Mínima cuantía</v>
          </cell>
          <cell r="R92" t="str">
            <v>Presupuesto inferior al 10% de la menor cuantía</v>
          </cell>
          <cell r="S92" t="str">
            <v>08/14/2026</v>
          </cell>
          <cell r="T92" t="str">
            <v>08/19/2026</v>
          </cell>
          <cell r="U92" t="str">
            <v>12/15/2026</v>
          </cell>
          <cell r="V92" t="str">
            <v>NXTWY.DLVY.6</v>
          </cell>
          <cell r="W92" t="str">
            <v>NIT</v>
          </cell>
          <cell r="X92" t="str">
            <v>901580502</v>
          </cell>
          <cell r="Y92" t="str">
            <v>LH URBAN CHIC SAS</v>
          </cell>
          <cell r="Z92" t="str">
            <v>No</v>
          </cell>
          <cell r="AA92" t="str">
            <v>Si</v>
          </cell>
          <cell r="AB92" t="str">
            <v>No</v>
          </cell>
          <cell r="AC92" t="str">
            <v>No</v>
          </cell>
          <cell r="AD92" t="str">
            <v>No</v>
          </cell>
          <cell r="AE92" t="str">
            <v>No</v>
          </cell>
          <cell r="AF92" t="str">
            <v>No</v>
          </cell>
          <cell r="AG92" t="str">
            <v>Distribuido</v>
          </cell>
          <cell r="AH92" t="str">
            <v>Funcionamiento</v>
          </cell>
          <cell r="AI92" t="str">
            <v>$19,360,000</v>
          </cell>
          <cell r="AJ92">
            <v>0</v>
          </cell>
          <cell r="AK92" t="str">
            <v>$0</v>
          </cell>
          <cell r="AL92" t="str">
            <v>$19,360,000</v>
          </cell>
          <cell r="AM92" t="str">
            <v>$0</v>
          </cell>
          <cell r="AN92">
            <v>0</v>
          </cell>
          <cell r="AO92">
            <v>0</v>
          </cell>
          <cell r="AP92" t="str">
            <v>$19,360,000</v>
          </cell>
          <cell r="AQ92" t="str">
            <v>$27,033,600</v>
          </cell>
          <cell r="AR92">
            <v>0</v>
          </cell>
          <cell r="AS92" t="str">
            <v>No</v>
          </cell>
          <cell r="AT92">
            <v>0</v>
          </cell>
          <cell r="AU92" t="str">
            <v>No aplica</v>
          </cell>
          <cell r="AV92" t="str">
            <v>No aplica</v>
          </cell>
          <cell r="AW92" t="str">
            <v>https://community.secop.gov.co/Public/Tendering/OpportunityDetail/Index?noticeUID=CO1.NTC.10532925&amp;isFromPublicArea=True&amp;isModal=true&amp;asPopupView=true</v>
          </cell>
          <cell r="AX92" t="str">
            <v>LUIS EDUARDO HERNANDEZ</v>
          </cell>
          <cell r="AY92" t="str">
            <v>CO</v>
          </cell>
          <cell r="AZ92" t="str">
            <v>No Definido</v>
          </cell>
          <cell r="BA92" t="str">
            <v>Sin Descripcion</v>
          </cell>
          <cell r="BB92" t="str">
            <v>Sin Descripcion</v>
          </cell>
          <cell r="BC92" t="str">
            <v>Hombre</v>
          </cell>
          <cell r="BD92" t="str">
            <v>$19,360,000</v>
          </cell>
          <cell r="BE92">
            <v>0</v>
          </cell>
          <cell r="BF92">
            <v>0</v>
          </cell>
          <cell r="BG92">
            <v>0</v>
          </cell>
          <cell r="BH92">
            <v>0</v>
          </cell>
          <cell r="BI92">
            <v>0</v>
          </cell>
          <cell r="BK92" t="str">
            <v>700,149,040</v>
          </cell>
          <cell r="BL92">
            <v>730597457</v>
          </cell>
          <cell r="BM92" t="str">
            <v/>
          </cell>
          <cell r="BO92" t="str">
            <v>EL CONTRATISTA se obliga con LA COMISIÓN a la entrega de bonos de dotación canjeables única y exclusivamente para la compra de vestuario y calzado para los funcionarios de la Comisión de Regulación de Comunicaciones - CRC; que tengan o adquieran el derecho en la vigencia 2026; de conformidad con la Invitación Pública No. 86 de 2026 y la oferta presentada por el contratista que forman parte integral del presente contrato.</v>
          </cell>
          <cell r="BP92" t="str">
            <v>125 Dia(s)</v>
          </cell>
          <cell r="BQ92" t="str">
            <v>No definido</v>
          </cell>
          <cell r="BR92" t="str">
            <v>No Definido</v>
          </cell>
          <cell r="BS92" t="str">
            <v>No definido</v>
          </cell>
          <cell r="BT92" t="str">
            <v>No</v>
          </cell>
          <cell r="BU92" t="str">
            <v/>
          </cell>
          <cell r="BV92" t="str">
            <v>DIANA WILCHES</v>
          </cell>
          <cell r="BW92" t="str">
            <v>Cédula de Ciudadanía</v>
          </cell>
          <cell r="BX92" t="str">
            <v>40049758</v>
          </cell>
          <cell r="BY92" t="str">
            <v>Luis Jorge Guevara Suarez</v>
          </cell>
          <cell r="BZ92" t="str">
            <v>Cédula de Ciudadanía</v>
          </cell>
          <cell r="CA92" t="str">
            <v>servidores y contrat</v>
          </cell>
          <cell r="CB92" t="str">
            <v>No definido</v>
          </cell>
          <cell r="CC92" t="str">
            <v>No definido</v>
          </cell>
          <cell r="CD92" t="str">
            <v>No definido</v>
          </cell>
          <cell r="CE92" t="str">
            <v>No</v>
          </cell>
          <cell r="CF92" t="str">
            <v>No definido</v>
          </cell>
          <cell r="CG92" t="str">
            <v>Calle 59 a Bis # 5 - 53 Piso 9 EDIFICIO LINK SIETE SESENTA
Bogotá
Distrito Capital de Bogotá
COLOMBIA</v>
          </cell>
          <cell r="CH92" t="str">
            <v>No definido</v>
          </cell>
          <cell r="CI92" t="str">
            <v>No definido</v>
          </cell>
          <cell r="CJ92" t="str">
            <v>No definido</v>
          </cell>
          <cell r="CK92" t="str">
            <v>No definido</v>
          </cell>
          <cell r="CL92" t="str">
            <v>No definido</v>
          </cell>
          <cell r="CM92" t="str">
            <v>No</v>
          </cell>
          <cell r="CN92" t="str">
            <v/>
          </cell>
          <cell r="CO92" t="str">
            <v/>
          </cell>
          <cell r="CP92" t="str">
            <v/>
          </cell>
          <cell r="CQ92" t="str">
            <v/>
          </cell>
        </row>
        <row r="93">
          <cell r="A93" t="str">
            <v>COMISIÓN DE REGULACIÓN DE COMUNICACIONES</v>
          </cell>
          <cell r="B93" t="str">
            <v>830,002,593</v>
          </cell>
          <cell r="C93" t="str">
            <v>Distrito Capital de Bogotá</v>
          </cell>
          <cell r="D93" t="str">
            <v>Bogotá</v>
          </cell>
          <cell r="E93" t="str">
            <v>Colombia, Bogotá,  Bogotá</v>
          </cell>
          <cell r="F93" t="str">
            <v>Nacional</v>
          </cell>
          <cell r="G93" t="str">
            <v>Tecnologías de la Información y las Comunicaciones</v>
          </cell>
          <cell r="H93" t="str">
            <v>Ejecutivo</v>
          </cell>
          <cell r="I93" t="str">
            <v>Centralizada</v>
          </cell>
          <cell r="J93" t="str">
            <v>CO1.BDOS.9320474</v>
          </cell>
          <cell r="K93" t="str">
            <v>CO1.PCCNTR.8918786</v>
          </cell>
          <cell r="L93" t="str">
            <v>CONTRATO 39 DE 2026</v>
          </cell>
          <cell r="M93" t="str">
            <v>En ejecución</v>
          </cell>
          <cell r="N93" t="str">
            <v>V1.80101511</v>
          </cell>
          <cell r="O93" t="str">
            <v>EL CONTRATISTA se obliga con LA COMISIÓN a la 
prestación de servicios de apoyo a la gestión en el desarrollo de acciones para el fortalecimiento de la 
gestión estratégica del talento humano en la CRC; encaminadas a la ejecución de actividades 
relacionadas con el cumplimiento de los planes y progr</v>
          </cell>
          <cell r="P93" t="str">
            <v>Prestación de servicios</v>
          </cell>
          <cell r="Q93" t="str">
            <v>Contratación directa</v>
          </cell>
          <cell r="R93" t="str">
            <v>Servicios profesionales y apoyo a la gestión</v>
          </cell>
          <cell r="S93" t="str">
            <v>01/26/2026</v>
          </cell>
          <cell r="T93" t="str">
            <v>01/30/2026</v>
          </cell>
          <cell r="U93" t="str">
            <v>12/21/2026</v>
          </cell>
          <cell r="V93" t="str">
            <v>NXTWY.DLVY.6</v>
          </cell>
          <cell r="W93" t="str">
            <v>NIT</v>
          </cell>
          <cell r="X93" t="str">
            <v>860066942</v>
          </cell>
          <cell r="Y93" t="str">
            <v>CAJA DE COMPENSACION FAMILIAR COMPENSAR</v>
          </cell>
          <cell r="Z93" t="str">
            <v>No</v>
          </cell>
          <cell r="AA93" t="str">
            <v>No</v>
          </cell>
          <cell r="AB93" t="str">
            <v>No</v>
          </cell>
          <cell r="AC93" t="str">
            <v>Si</v>
          </cell>
          <cell r="AD93" t="str">
            <v>No</v>
          </cell>
          <cell r="AE93" t="str">
            <v>No</v>
          </cell>
          <cell r="AF93" t="str">
            <v>No</v>
          </cell>
          <cell r="AG93" t="str">
            <v>Distribuido</v>
          </cell>
          <cell r="AH93" t="str">
            <v>Inversión</v>
          </cell>
          <cell r="AI93" t="str">
            <v>$420,343,000</v>
          </cell>
          <cell r="AJ93">
            <v>0</v>
          </cell>
          <cell r="AK93" t="str">
            <v>$170,661,275</v>
          </cell>
          <cell r="AL93" t="str">
            <v>$249,681,725</v>
          </cell>
          <cell r="AM93" t="str">
            <v>$170,661,275</v>
          </cell>
          <cell r="AN93">
            <v>0</v>
          </cell>
          <cell r="AO93">
            <v>0</v>
          </cell>
          <cell r="AP93" t="str">
            <v>$249,681,725</v>
          </cell>
          <cell r="AQ93" t="str">
            <v>$420,343,000</v>
          </cell>
          <cell r="AR93">
            <v>0</v>
          </cell>
          <cell r="AS93" t="str">
            <v>No</v>
          </cell>
          <cell r="AT93">
            <v>0</v>
          </cell>
          <cell r="AU93" t="str">
            <v>No aplica</v>
          </cell>
          <cell r="AV93" t="str">
            <v>No aplica</v>
          </cell>
          <cell r="AW93" t="str">
            <v>https://community.secop.gov.co/Public/Tendering/OpportunityDetail/Index?noticeUID=CO1.NTC.9538027&amp;isFromPublicArea=True&amp;isModal=true&amp;asPopupView=true</v>
          </cell>
          <cell r="AX93" t="str">
            <v>DIANA CAROLINA GONZALEZ REAL</v>
          </cell>
          <cell r="AY93" t="str">
            <v>CO</v>
          </cell>
          <cell r="AZ93" t="str">
            <v>Carrera 71a  No 3a - 59 Edf Amparo</v>
          </cell>
          <cell r="BA93" t="str">
            <v>Cédula de Ciudadanía</v>
          </cell>
          <cell r="BB93" t="str">
            <v>52833076</v>
          </cell>
          <cell r="BC93" t="str">
            <v>Hombre</v>
          </cell>
          <cell r="BD93" t="str">
            <v>$420,343,000</v>
          </cell>
          <cell r="BE93">
            <v>0</v>
          </cell>
          <cell r="BF93">
            <v>0</v>
          </cell>
          <cell r="BG93">
            <v>0</v>
          </cell>
          <cell r="BH93">
            <v>0</v>
          </cell>
          <cell r="BI93">
            <v>0</v>
          </cell>
          <cell r="BK93" t="str">
            <v>700,149,040</v>
          </cell>
          <cell r="BL93">
            <v>700679053</v>
          </cell>
          <cell r="BM93" t="str">
            <v>2026 Dec 22 12:00:00 AM</v>
          </cell>
          <cell r="BN93">
            <v>47108</v>
          </cell>
          <cell r="BO93" t="str">
            <v>EL CONTRATISTA se obliga con LA COMISIÓN a la 
prestación de servicios de apoyo a la gestión en el desarrollo de acciones para el fortalecimiento de la 
gestión estratégica del talento humano en la CRC; encaminadas a la ejecución de actividades 
relacionadas con el cumplimiento de los planes y programas correspondientes a las políticas de la 
dimensión de talento humano del modelo integrado de planeación y gestión - MIPG en la comisión de 
regulación de comunicaciones (bienestar social; capacita</v>
          </cell>
          <cell r="BP93" t="str">
            <v>11 Mes(es)</v>
          </cell>
          <cell r="BQ93" t="str">
            <v>No definido</v>
          </cell>
          <cell r="BR93" t="str">
            <v>No Definido</v>
          </cell>
          <cell r="BS93" t="str">
            <v>No definido</v>
          </cell>
          <cell r="BT93" t="str">
            <v>No</v>
          </cell>
          <cell r="BU93" t="str">
            <v/>
          </cell>
          <cell r="BV93" t="str">
            <v>No definido</v>
          </cell>
          <cell r="BW93" t="str">
            <v>No definido</v>
          </cell>
          <cell r="BX93" t="str">
            <v>No definido</v>
          </cell>
          <cell r="BY93" t="str">
            <v>DIANA WILCHES</v>
          </cell>
          <cell r="BZ93" t="str">
            <v>Cédula de Ciudadanía</v>
          </cell>
          <cell r="CA93" t="str">
            <v>40049758</v>
          </cell>
          <cell r="CB93" t="str">
            <v>No definido</v>
          </cell>
          <cell r="CC93" t="str">
            <v>No definido</v>
          </cell>
          <cell r="CD93" t="str">
            <v>No definido</v>
          </cell>
          <cell r="CE93" t="str">
            <v>No</v>
          </cell>
          <cell r="CF93" t="str">
            <v>No definido</v>
          </cell>
          <cell r="CG93" t="str">
            <v>Calle 59 a Bis # 5 - 53 Piso 9 EDIFICIO LINK SIETE SESENTA
Bogotá
Distrito Capital de Bogotá
COLOMBIA</v>
          </cell>
          <cell r="CH93" t="str">
            <v>No definido</v>
          </cell>
          <cell r="CI93" t="str">
            <v>No definido</v>
          </cell>
          <cell r="CJ93" t="str">
            <v>No definido</v>
          </cell>
          <cell r="CK93" t="str">
            <v>No definido</v>
          </cell>
          <cell r="CL93" t="str">
            <v>No definido</v>
          </cell>
          <cell r="CM93" t="str">
            <v>No</v>
          </cell>
          <cell r="CN93" t="str">
            <v/>
          </cell>
          <cell r="CO93" t="str">
            <v/>
          </cell>
          <cell r="CP93" t="str">
            <v/>
          </cell>
          <cell r="CQ93" t="str">
            <v/>
          </cell>
        </row>
        <row r="94">
          <cell r="A94" t="str">
            <v>COMISIÓN DE REGULACIÓN DE COMUNICACIONES</v>
          </cell>
          <cell r="B94" t="str">
            <v>830,002,593</v>
          </cell>
          <cell r="C94" t="str">
            <v>Distrito Capital de Bogotá</v>
          </cell>
          <cell r="D94" t="str">
            <v>Bogotá</v>
          </cell>
          <cell r="E94" t="str">
            <v>Colombia, Bogotá,  Bogotá</v>
          </cell>
          <cell r="F94" t="str">
            <v>Nacional</v>
          </cell>
          <cell r="G94" t="str">
            <v>Tecnologías de la Información y las Comunicaciones</v>
          </cell>
          <cell r="H94" t="str">
            <v>Ejecutivo</v>
          </cell>
          <cell r="I94" t="str">
            <v>Centralizada</v>
          </cell>
          <cell r="J94" t="str">
            <v>CO1.BDOS.9323080</v>
          </cell>
          <cell r="K94" t="str">
            <v>CO1.PCCNTR.8877745</v>
          </cell>
          <cell r="L94" t="str">
            <v>CONTRATO 21 DE 2026</v>
          </cell>
          <cell r="M94" t="str">
            <v>En ejecución</v>
          </cell>
          <cell r="N94" t="str">
            <v>V1.80101505</v>
          </cell>
          <cell r="O94" t="str">
            <v>Prestación de servicios profesionales especializados para apoyar en el diseño; implementación y fortalecimiento de la política y la estrategia de gestión de conocimiento e innovación en el marco del Modelo Integrado de Planeación y Gestión (MIPG); la formulación y acompañamiento de procesos de innov</v>
          </cell>
          <cell r="P94" t="str">
            <v>Prestación de servicios</v>
          </cell>
          <cell r="Q94" t="str">
            <v>Contratación directa</v>
          </cell>
          <cell r="R94" t="str">
            <v>Servicios profesionales y apoyo a la gestión</v>
          </cell>
          <cell r="S94" t="str">
            <v>01/15/2026</v>
          </cell>
          <cell r="T94" t="str">
            <v>01/16/2026</v>
          </cell>
          <cell r="U94" t="str">
            <v>12/31/2026</v>
          </cell>
          <cell r="V94" t="str">
            <v>NXTWY.DLVY.6</v>
          </cell>
          <cell r="W94" t="str">
            <v>Cédula de Ciudadanía</v>
          </cell>
          <cell r="X94" t="str">
            <v>1088306511</v>
          </cell>
          <cell r="Y94" t="str">
            <v>Juliana Vinasco Zapata</v>
          </cell>
          <cell r="Z94" t="str">
            <v>No</v>
          </cell>
          <cell r="AA94" t="str">
            <v>No</v>
          </cell>
          <cell r="AB94" t="str">
            <v>No</v>
          </cell>
          <cell r="AC94" t="str">
            <v>No</v>
          </cell>
          <cell r="AD94" t="str">
            <v>No</v>
          </cell>
          <cell r="AE94" t="str">
            <v>No</v>
          </cell>
          <cell r="AF94" t="str">
            <v>No</v>
          </cell>
          <cell r="AG94" t="str">
            <v>Distribuido</v>
          </cell>
          <cell r="AH94" t="str">
            <v>Inversión</v>
          </cell>
          <cell r="AI94" t="str">
            <v>$158,829,605</v>
          </cell>
          <cell r="AJ94">
            <v>0</v>
          </cell>
          <cell r="AK94" t="str">
            <v>$117,395,813</v>
          </cell>
          <cell r="AL94" t="str">
            <v>$41,433,792</v>
          </cell>
          <cell r="AM94" t="str">
            <v>$117,395,813</v>
          </cell>
          <cell r="AN94">
            <v>0</v>
          </cell>
          <cell r="AO94">
            <v>0</v>
          </cell>
          <cell r="AP94" t="str">
            <v>$41,433,792</v>
          </cell>
          <cell r="AQ94" t="str">
            <v>$158,829,605</v>
          </cell>
          <cell r="AR94">
            <v>0</v>
          </cell>
          <cell r="AS94" t="str">
            <v>No</v>
          </cell>
          <cell r="AT94">
            <v>0</v>
          </cell>
          <cell r="AU94" t="str">
            <v>No aplica</v>
          </cell>
          <cell r="AV94" t="str">
            <v>No aplica</v>
          </cell>
          <cell r="AW94" t="str">
            <v>https://community.secop.gov.co/Public/Tendering/OpportunityDetail/Index?noticeUID=CO1.NTC.9508772&amp;isFromPublicArea=True&amp;isModal=true&amp;asPopupView=true</v>
          </cell>
          <cell r="AX94" t="str">
            <v>JULIANA VINASCO ZAPATA</v>
          </cell>
          <cell r="AY94" t="str">
            <v>CO</v>
          </cell>
          <cell r="AZ94" t="str">
            <v>No Definido</v>
          </cell>
          <cell r="BA94" t="str">
            <v>Cédula de Ciudadanía</v>
          </cell>
          <cell r="BB94" t="str">
            <v>1088306511</v>
          </cell>
          <cell r="BC94" t="str">
            <v>Mujer</v>
          </cell>
          <cell r="BD94" t="str">
            <v>$158,829,605</v>
          </cell>
          <cell r="BE94">
            <v>0</v>
          </cell>
          <cell r="BF94">
            <v>0</v>
          </cell>
          <cell r="BG94">
            <v>0</v>
          </cell>
          <cell r="BH94">
            <v>0</v>
          </cell>
          <cell r="BI94">
            <v>0</v>
          </cell>
          <cell r="BK94" t="str">
            <v>700,149,040</v>
          </cell>
          <cell r="BL94">
            <v>712083120</v>
          </cell>
          <cell r="BM94" t="str">
            <v/>
          </cell>
          <cell r="BO94" t="str">
            <v>Prestación de servicios profesionales especializados para apoyar en el diseño; implementación y fortalecimiento de la política y la estrategia de gestión de conocimiento e innovación en el marco del Modelo Integrado de Planeación y Gestión (MIPG); la formulación y acompañamiento de procesos de innovación institucional y experimental; incluyendo la articulación con instituciones de educación superior y centros de investigación para el desarrollo de proyectos colaborativos y de investigación aplic</v>
          </cell>
          <cell r="BP94" t="str">
            <v>345 Dia(s)</v>
          </cell>
          <cell r="BQ94" t="str">
            <v>No definido</v>
          </cell>
          <cell r="BR94" t="str">
            <v>No Definido</v>
          </cell>
          <cell r="BS94" t="str">
            <v>No definido</v>
          </cell>
          <cell r="BT94" t="str">
            <v>No</v>
          </cell>
          <cell r="BU94" t="str">
            <v/>
          </cell>
          <cell r="BV94" t="str">
            <v>No definido</v>
          </cell>
          <cell r="BW94" t="str">
            <v>No definido</v>
          </cell>
          <cell r="BX94" t="str">
            <v>No definido</v>
          </cell>
          <cell r="BY94" t="str">
            <v>No definido</v>
          </cell>
          <cell r="BZ94" t="str">
            <v>No definido</v>
          </cell>
          <cell r="CA94" t="str">
            <v>No definido</v>
          </cell>
          <cell r="CB94" t="str">
            <v>No definido</v>
          </cell>
          <cell r="CC94" t="str">
            <v>No definido</v>
          </cell>
          <cell r="CD94" t="str">
            <v>No definido</v>
          </cell>
          <cell r="CE94" t="str">
            <v>No</v>
          </cell>
          <cell r="CF94" t="str">
            <v>No definido</v>
          </cell>
          <cell r="CG94" t="str">
            <v>Calle 59 a Bis # 5 - 53 Piso 9 EDIFICIO LINK SIETE SESENTA
Bogotá
Distrito Capital de Bogotá
COLOMBIA</v>
          </cell>
          <cell r="CH94" t="str">
            <v>No definido</v>
          </cell>
          <cell r="CI94" t="str">
            <v>No definido</v>
          </cell>
          <cell r="CJ94" t="str">
            <v>No definido</v>
          </cell>
          <cell r="CK94" t="str">
            <v>No definido</v>
          </cell>
          <cell r="CL94" t="str">
            <v>No definido</v>
          </cell>
          <cell r="CM94" t="str">
            <v>No</v>
          </cell>
          <cell r="CN94" t="str">
            <v/>
          </cell>
          <cell r="CO94" t="str">
            <v/>
          </cell>
          <cell r="CP94" t="str">
            <v/>
          </cell>
          <cell r="CQ94" t="st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TOS CRC 2015"/>
      <sheetName val="ListaTipoContratacion"/>
      <sheetName val="ClasedeContratacion"/>
      <sheetName val="Identificacion"/>
    </sheetNames>
    <sheetDataSet>
      <sheetData sheetId="0"/>
      <sheetData sheetId="1"/>
      <sheetData sheetId="2"/>
      <sheetData sheetId="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10022306&amp;isFromPublicArea=True&amp;isModal=true&amp;asPopupView=true" TargetMode="External"/><Relationship Id="rId18" Type="http://schemas.openxmlformats.org/officeDocument/2006/relationships/hyperlink" Target="https://community.secop.gov.co/Public/Tendering/OpportunityDetail/Index?noticeUID=CO1.NTC.10128609&amp;isFromPublicArea=True&amp;isModal=true&amp;asPopupView=true" TargetMode="External"/><Relationship Id="rId26" Type="http://schemas.openxmlformats.org/officeDocument/2006/relationships/hyperlink" Target="https://community.secop.gov.co/Public/Tendering/OpportunityDetail/Index?noticeUID=CO1.NTC.10429509&amp;isFromPublicArea=True&amp;isModal=true&amp;asPopupView=true" TargetMode="External"/><Relationship Id="rId21" Type="http://schemas.openxmlformats.org/officeDocument/2006/relationships/hyperlink" Target="https://community.secop.gov.co/Public/Tendering/OpportunityDetail/Index?noticeUID=CO1.NTC.9487338&amp;isFromPublicArea=True&amp;isModal=true&amp;asPopupView=true" TargetMode="External"/><Relationship Id="rId34" Type="http://schemas.openxmlformats.org/officeDocument/2006/relationships/hyperlink" Target="https://community.secop.gov.co/Public/Tendering/OpportunityDetail/Index?noticeUID=CO1.NTC.10586829&amp;isFromPublicArea=True&amp;isModal=true&amp;asPopupView=true" TargetMode="External"/><Relationship Id="rId7" Type="http://schemas.openxmlformats.org/officeDocument/2006/relationships/hyperlink" Target="https://community.secop.gov.co/Public/Tendering/OpportunityDetail/Index?noticeUID=CO1.NTC.10161916&amp;isFromPublicArea=True&amp;isModal=true&amp;asPopupView=true" TargetMode="External"/><Relationship Id="rId12" Type="http://schemas.openxmlformats.org/officeDocument/2006/relationships/hyperlink" Target="https://community.secop.gov.co/Public/Tendering/OpportunityDetail/Index?noticeUID=CO1.NTC.10015202&amp;isFromPublicArea=True&amp;isModal=true&amp;asPopupView=true" TargetMode="External"/><Relationship Id="rId17" Type="http://schemas.openxmlformats.org/officeDocument/2006/relationships/hyperlink" Target="https://community.secop.gov.co/Public/Tendering/OpportunityDetail/Index?noticeUID=CO1.NTC.10128576&amp;isFromPublicArea=True&amp;isModal=true&amp;asPopupView=true" TargetMode="External"/><Relationship Id="rId25" Type="http://schemas.openxmlformats.org/officeDocument/2006/relationships/hyperlink" Target="https://community.secop.gov.co/Public/Tendering/OpportunityDetail/Index?noticeUID=CO1.NTC.9415572&amp;isFromPublicArea=True&amp;isModal=true&amp;asPopupView=true" TargetMode="External"/><Relationship Id="rId33" Type="http://schemas.openxmlformats.org/officeDocument/2006/relationships/hyperlink" Target="https://community.secop.gov.co/Public/Tendering/OpportunityDetail/Index?noticeUID=CO1.NTC.10575387&amp;isFromPublicArea=True&amp;isModal=true&amp;asPopupView=true" TargetMode="External"/><Relationship Id="rId2" Type="http://schemas.openxmlformats.org/officeDocument/2006/relationships/hyperlink" Target="https://operaciones.colombiacompra.gov.co/tienda-virtual-del-estado-colombiano/ordenes-compra/163478" TargetMode="External"/><Relationship Id="rId16" Type="http://schemas.openxmlformats.org/officeDocument/2006/relationships/hyperlink" Target="https://community.secop.gov.co/Public/Tendering/OpportunityDetail/Index?noticeUID=CO1.NTC.10099755&amp;isFromPublicArea=True&amp;isModal=true&amp;asPopupView=true" TargetMode="External"/><Relationship Id="rId20" Type="http://schemas.openxmlformats.org/officeDocument/2006/relationships/hyperlink" Target="https://community.secop.gov.co/Public/Tendering/OpportunityDetail/Index?noticeUID=CO1.NTC.9528300&amp;isFromPublicArea=True&amp;isModal=true&amp;asPopupView=true" TargetMode="External"/><Relationship Id="rId29" Type="http://schemas.openxmlformats.org/officeDocument/2006/relationships/hyperlink" Target="https://community.secop.gov.co/Public/Tendering/OpportunityDetail/Index?noticeUID=CO1.NTC.10447063&amp;isFromPublicArea=True&amp;isModal=true&amp;asPopupView=true" TargetMode="External"/><Relationship Id="rId1" Type="http://schemas.openxmlformats.org/officeDocument/2006/relationships/hyperlink" Target="https://community.secop.gov.co/Public/Tendering/OpportunityDetail/Index?noticeUID=CO1.NTC.10077458&amp;isFromPublicArea=True&amp;isModal=true&amp;asPopupView=true" TargetMode="External"/><Relationship Id="rId6" Type="http://schemas.openxmlformats.org/officeDocument/2006/relationships/hyperlink" Target="https://community.secop.gov.co/Public/Tendering/OpportunityDetail/Index?noticeUID=CO1.NTC.10112609&amp;isFromPublicArea=True&amp;isModal=true&amp;asPopupView=true" TargetMode="External"/><Relationship Id="rId11" Type="http://schemas.openxmlformats.org/officeDocument/2006/relationships/hyperlink" Target="https://community.secop.gov.co/Public/Tendering/OpportunityDetail/Index?noticeUID=CO1.NTC.10016666&amp;isFromPublicArea=True&amp;isModal=true&amp;asPopupView=true" TargetMode="External"/><Relationship Id="rId24" Type="http://schemas.openxmlformats.org/officeDocument/2006/relationships/hyperlink" Target="https://operaciones.colombiacompra.gov.co/tienda-virtual-del-estado-colombiano/ordenes-compra/166465" TargetMode="External"/><Relationship Id="rId32" Type="http://schemas.openxmlformats.org/officeDocument/2006/relationships/hyperlink" Target="https://community.secop.gov.co/Public/Tendering/OpportunityDetail/Index?noticeUID=CO1.NTC.10451115&amp;isFromPublicArea=True&amp;isModal=true&amp;asPopupView=true" TargetMode="External"/><Relationship Id="rId37" Type="http://schemas.openxmlformats.org/officeDocument/2006/relationships/hyperlink" Target="https://community.secop.gov.co/Public/Tendering/OpportunityDetail/Index?noticeUID=CO1.NTC.10960550&amp;amp;isFromPublicArea=True&amp;amp;isModal=true&amp;amp;asPopupView=true" TargetMode="External"/><Relationship Id="rId5" Type="http://schemas.openxmlformats.org/officeDocument/2006/relationships/hyperlink" Target="https://community.secop.gov.co/Public/Tendering/OpportunityDetail/Index?noticeUID=CO1.NTC.10366033&amp;isFromPublicArea=True&amp;isModal=true&amp;asPopupView=true" TargetMode="External"/><Relationship Id="rId15" Type="http://schemas.openxmlformats.org/officeDocument/2006/relationships/hyperlink" Target="https://community.secop.gov.co/Public/Tendering/OpportunityDetail/Index?noticeUID=CO1.NTC.10021556&amp;isFromPublicArea=True&amp;isModal=true&amp;asPopupView=true" TargetMode="External"/><Relationship Id="rId23" Type="http://schemas.openxmlformats.org/officeDocument/2006/relationships/hyperlink" Target="https://community.secop.gov.co/Public/Tendering/OpportunityDetail/Index?noticeUID=CO1.NTC.10353282&amp;isFromPublicArea=True&amp;isModal=true&amp;asPopupView=true" TargetMode="External"/><Relationship Id="rId28" Type="http://schemas.openxmlformats.org/officeDocument/2006/relationships/hyperlink" Target="https://community.secop.gov.co/Public/Tendering/OpportunityDetail/Index?noticeUID=CO1.NTC.10486431&amp;isFromPublicArea=True&amp;isModal=true&amp;asPopupView=true" TargetMode="External"/><Relationship Id="rId36" Type="http://schemas.openxmlformats.org/officeDocument/2006/relationships/hyperlink" Target="https://community.secop.gov.co/Public/Tendering/OpportunityDetail/Index?noticeUID=CO1.NTC.10649706&amp;isFromPublicArea=True&amp;isModal=true&amp;asPopupView=true" TargetMode="External"/><Relationship Id="rId10" Type="http://schemas.openxmlformats.org/officeDocument/2006/relationships/hyperlink" Target="https://community.secop.gov.co/Public/Tendering/OpportunityDetail/Index?noticeUID=CO1.NTC.10001131&amp;isFromPublicArea=True&amp;isModal=true&amp;asPopupView=true" TargetMode="External"/><Relationship Id="rId19" Type="http://schemas.openxmlformats.org/officeDocument/2006/relationships/hyperlink" Target="https://community.secop.gov.co/Public/Tendering/OpportunityDetail/Index?noticeUID=CO1.NTC.10140135&amp;isFromPublicArea=True&amp;isModal=true&amp;asPopupView=true" TargetMode="External"/><Relationship Id="rId31" Type="http://schemas.openxmlformats.org/officeDocument/2006/relationships/hyperlink" Target="https://community.secop.gov.co/Public/Tendering/OpportunityDetail/Index?noticeUID=CO1.NTC.10473469&amp;isFromPublicArea=True&amp;isModal=true&amp;asPopupView=true" TargetMode="External"/><Relationship Id="rId4" Type="http://schemas.openxmlformats.org/officeDocument/2006/relationships/hyperlink" Target="https://community.secop.gov.co/Public/Tendering/OpportunityDetail/Index?noticeUID=CO1.NTC.10140964&amp;isFromPublicArea=True&amp;isModal=true&amp;asPopupView=true" TargetMode="External"/><Relationship Id="rId9" Type="http://schemas.openxmlformats.org/officeDocument/2006/relationships/hyperlink" Target="https://community.secop.gov.co/Public/Tendering/OpportunityDetail/Index?noticeUID=CO1.NTC.9516591&amp;isFromPublicArea=True&amp;isModal=true&amp;asPopupView=true" TargetMode="External"/><Relationship Id="rId14" Type="http://schemas.openxmlformats.org/officeDocument/2006/relationships/hyperlink" Target="https://community.secop.gov.co/Public/Tendering/OpportunityDetail/Index?noticeUID=CO1.NTC.10053312&amp;isFromPublicArea=True&amp;isModal=true&amp;asPopupView=true" TargetMode="External"/><Relationship Id="rId22" Type="http://schemas.openxmlformats.org/officeDocument/2006/relationships/hyperlink" Target="https://community.secop.gov.co/Public/Tendering/OpportunityDetail/Index?noticeUID=CO1.NTC.10449514&amp;isFromPublicArea=True&amp;isModal=true&amp;asPopupView=true" TargetMode="External"/><Relationship Id="rId27" Type="http://schemas.openxmlformats.org/officeDocument/2006/relationships/hyperlink" Target="https://community.secop.gov.co/Public/Tendering/OpportunityDetail/Index?noticeUID=CO1.NTC.10594647&amp;isFromPublicArea=True&amp;isModal=true&amp;asPopupView=true" TargetMode="External"/><Relationship Id="rId30" Type="http://schemas.openxmlformats.org/officeDocument/2006/relationships/hyperlink" Target="https://community.secop.gov.co/Public/Tendering/OpportunityDetail/Index?noticeUID=CO1.NTC.10685188&amp;isFromPublicArea=True&amp;isModal=true&amp;asPopupView=true" TargetMode="External"/><Relationship Id="rId35" Type="http://schemas.openxmlformats.org/officeDocument/2006/relationships/hyperlink" Target="https://community.secop.gov.co/Public/Tendering/OpportunityDetail/Index?noticeUID=CO1.NTC.10647915&amp;isFromPublicArea=True&amp;isModal=true&amp;asPopupView=true" TargetMode="External"/><Relationship Id="rId8" Type="http://schemas.openxmlformats.org/officeDocument/2006/relationships/hyperlink" Target="https://community.secop.gov.co/Public/Tendering/OpportunityDetail/Index?noticeUID=CO1.NTC.9510142&amp;isFromPublicArea=True&amp;isModal=true&amp;asPopupView=true" TargetMode="External"/><Relationship Id="rId3" Type="http://schemas.openxmlformats.org/officeDocument/2006/relationships/hyperlink" Target="https://operaciones.colombiacompra.gov.co/tienda-virtual-del-estado-colombiano/ordenes-compra/1625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CBD27-DB16-446F-AFBD-11E5605F55D6}">
  <sheetPr>
    <tabColor rgb="FFFFFF00"/>
  </sheetPr>
  <dimension ref="A1:AH1048273"/>
  <sheetViews>
    <sheetView tabSelected="1" topLeftCell="A71" zoomScale="70" zoomScaleNormal="70" workbookViewId="0">
      <selection activeCell="AI1" sqref="AI1:AI1048576"/>
    </sheetView>
  </sheetViews>
  <sheetFormatPr baseColWidth="10" defaultColWidth="11.453125" defaultRowHeight="54.75" customHeight="1" x14ac:dyDescent="0.35"/>
  <cols>
    <col min="1" max="1" width="20.81640625" style="50" customWidth="1"/>
    <col min="2" max="2" width="25.7265625" style="51" customWidth="1"/>
    <col min="3" max="4" width="19.453125" style="51" customWidth="1"/>
    <col min="5" max="5" width="50.54296875" style="52" customWidth="1"/>
    <col min="6" max="6" width="19.81640625" style="52" customWidth="1"/>
    <col min="7" max="7" width="19.26953125" style="53" customWidth="1"/>
    <col min="8" max="8" width="17.7265625" style="54" customWidth="1"/>
    <col min="9" max="9" width="18" style="53" customWidth="1"/>
    <col min="10" max="10" width="23.81640625" style="53" customWidth="1"/>
    <col min="11" max="11" width="21.1796875" style="53" customWidth="1"/>
    <col min="12" max="12" width="15.7265625" style="55" customWidth="1"/>
    <col min="13" max="13" width="15.7265625" style="53" customWidth="1"/>
    <col min="14" max="14" width="15.7265625" style="33" customWidth="1"/>
    <col min="15" max="15" width="17.1796875" style="33" customWidth="1"/>
    <col min="16" max="16" width="15.7265625" style="33" customWidth="1"/>
    <col min="17" max="17" width="16.54296875" style="33" customWidth="1"/>
    <col min="18" max="18" width="15.1796875" style="33" customWidth="1"/>
    <col min="19" max="19" width="33.81640625" style="33" customWidth="1"/>
    <col min="20" max="20" width="15.7265625" style="33" customWidth="1"/>
    <col min="21" max="21" width="11.453125" style="33" customWidth="1"/>
    <col min="22" max="22" width="20" style="33" customWidth="1"/>
    <col min="23" max="23" width="16.1796875" style="33" customWidth="1"/>
    <col min="24" max="24" width="16.26953125" style="33" customWidth="1"/>
    <col min="25" max="25" width="16.7265625" style="33" customWidth="1"/>
    <col min="26" max="26" width="16.26953125" style="54" customWidth="1"/>
    <col min="27" max="27" width="9.26953125" style="33" customWidth="1"/>
    <col min="28" max="28" width="17.26953125" style="33" customWidth="1"/>
    <col min="29" max="29" width="17.1796875" style="33" customWidth="1"/>
    <col min="30" max="30" width="18.81640625" style="33" customWidth="1"/>
    <col min="31" max="34" width="21.1796875" style="33" customWidth="1"/>
    <col min="35" max="16384" width="11.453125" style="33"/>
  </cols>
  <sheetData>
    <row r="1" spans="1:34" s="9" customFormat="1" ht="57.65" customHeight="1" x14ac:dyDescent="0.35">
      <c r="A1" s="1" t="s">
        <v>0</v>
      </c>
      <c r="B1" s="2" t="s">
        <v>1</v>
      </c>
      <c r="C1" s="1" t="s">
        <v>2</v>
      </c>
      <c r="D1" s="1" t="s">
        <v>3</v>
      </c>
      <c r="E1" s="1" t="s">
        <v>4</v>
      </c>
      <c r="F1" s="1" t="s">
        <v>5</v>
      </c>
      <c r="G1" s="3" t="s">
        <v>6</v>
      </c>
      <c r="H1" s="1" t="s">
        <v>7</v>
      </c>
      <c r="I1" s="3" t="s">
        <v>8</v>
      </c>
      <c r="J1" s="3" t="s">
        <v>9</v>
      </c>
      <c r="K1" s="3" t="s">
        <v>10</v>
      </c>
      <c r="L1" s="4" t="s">
        <v>11</v>
      </c>
      <c r="M1" s="3" t="s">
        <v>12</v>
      </c>
      <c r="N1" s="1" t="s">
        <v>13</v>
      </c>
      <c r="O1" s="1" t="s">
        <v>14</v>
      </c>
      <c r="P1" s="5" t="s">
        <v>15</v>
      </c>
      <c r="Q1" s="1" t="s">
        <v>16</v>
      </c>
      <c r="R1" s="1" t="s">
        <v>17</v>
      </c>
      <c r="S1" s="1" t="s">
        <v>18</v>
      </c>
      <c r="T1" s="1" t="s">
        <v>19</v>
      </c>
      <c r="U1" s="6" t="s">
        <v>20</v>
      </c>
      <c r="V1" s="6" t="s">
        <v>21</v>
      </c>
      <c r="W1" s="7" t="s">
        <v>22</v>
      </c>
      <c r="X1" s="7" t="s">
        <v>23</v>
      </c>
      <c r="Y1" s="7" t="s">
        <v>24</v>
      </c>
      <c r="Z1" s="7" t="s">
        <v>25</v>
      </c>
      <c r="AA1" s="7" t="s">
        <v>26</v>
      </c>
      <c r="AB1" s="7" t="s">
        <v>27</v>
      </c>
      <c r="AC1" s="8" t="s">
        <v>28</v>
      </c>
      <c r="AD1" s="8" t="s">
        <v>29</v>
      </c>
      <c r="AE1" s="1" t="s">
        <v>30</v>
      </c>
      <c r="AF1" s="1" t="s">
        <v>31</v>
      </c>
      <c r="AG1" s="1" t="s">
        <v>32</v>
      </c>
      <c r="AH1" s="1" t="s">
        <v>33</v>
      </c>
    </row>
    <row r="2" spans="1:34" ht="61.5" customHeight="1" x14ac:dyDescent="0.35">
      <c r="A2" s="1" t="str">
        <f>[1]Contratos!A2</f>
        <v>CONTRATO 01 DE 2026</v>
      </c>
      <c r="B2" s="10" t="str">
        <f>[1]Contratos!B2</f>
        <v>ERICK FRANCKS ESPEJO SILVA</v>
      </c>
      <c r="C2" s="10" t="str">
        <f>[1]Contratos!E2</f>
        <v>Prestación de servicios profesionales o Apoyo a la gestión</v>
      </c>
      <c r="D2" s="10" t="s">
        <v>34</v>
      </c>
      <c r="E2" s="11" t="str">
        <f>[1]Contratos!F2</f>
        <v>Prestar servicios profesionales en realización y producción audiovisual, para apoyar la Estrategia de Comunicaciones 2026 de la CRC mediante la planeación, grabación, edición y entrega de contenidos institucionales y la cobertura de eventos, garantizando calidad técnica, coherencia con la identidad visual, accesibilidad y comunicación inclusiva, utilizando sus propios equipos y actuando con autonomía profesional.</v>
      </c>
      <c r="F2" s="12">
        <v>112823292</v>
      </c>
      <c r="G2" s="13">
        <f>[1]Contratos!G2</f>
        <v>112823292</v>
      </c>
      <c r="H2" s="14" t="str">
        <f>IFERROR(VLOOKUP(A2, [1]Otrosí!A:F, 6, FALSE), "0")</f>
        <v>0</v>
      </c>
      <c r="I2" s="13">
        <f>SUM(G2:H2)</f>
        <v>112823292</v>
      </c>
      <c r="J2" s="15">
        <f>IFERROR(_xlfn.LET(_xlpm.x,_xlfn.LET(_xlpm.n,--_xlfn.TEXTBEFORE(_xlfn.TEXTAFTER(A2,"CONTRATO ")," DE"),_xlpm.c,"CONTRATO "&amp;TEXT(_xlpm.n,"00")&amp;" DE 2026",_xlpm.h,'[1]SECOP II'!$A$1:$CQ$1,_xlpm.d,'[1]SECOP II'!$A$2:$CQ$94,_xlpm.r,INDEX(_xlpm.d,0,MATCH("Referencia del Contrato",_xlpm.h,0)),INDEX(_xlpm.d,MATCH(_xlpm.c,_xlpm.r,0),MATCH("Valor Pagado",_xlpm.h,0))),_xlfn.NUMBERVALUE(SUBSTITUTE(_xlpm.x,"$",""),".",",")),"")</f>
        <v>73580407.5</v>
      </c>
      <c r="K2" s="16">
        <f>I2-J2</f>
        <v>39242884.5</v>
      </c>
      <c r="L2" s="17">
        <f>IF(OR(A2="",I2=0),"",J2/I2)</f>
        <v>0.65217391015323323</v>
      </c>
      <c r="M2" s="18">
        <f>[1]Contratos!O2</f>
        <v>46036</v>
      </c>
      <c r="N2" s="18">
        <f>[1]Contratos!P2</f>
        <v>46038</v>
      </c>
      <c r="O2" s="18">
        <f>[1]Contratos!Q2</f>
        <v>46387</v>
      </c>
      <c r="P2" s="18" t="str">
        <f>IFERROR(VLOOKUP(A2, [1]Otrosí!A:L, 7, FALSE), "N/A")</f>
        <v>N/A</v>
      </c>
      <c r="Q2" s="19" t="str">
        <f>IFERROR(_xlfn.LET(_xlpm.h,'[1]SECOP II'!$A$1:$CQ$1,_xlpm.d,'[1]SECOP II'!$A$2:$CQ$94,_xlpm.r,INDEX(_xlpm.d,0,MATCH("Referencia del Contrato",_xlpm.h,0)),INDEX(_xlpm.d,MATCH("CONTRATO 01 DE 2026",_xlpm.r,0),MATCH("Tipo de Contrato",_xlpm.h,0))),"")</f>
        <v>Prestación de servicios</v>
      </c>
      <c r="R2" s="20" t="str">
        <f>IFERROR(_xlfn.LET(_xlpm.n,--_xlfn.TEXTBEFORE(_xlfn.TEXTAFTER(A2,"CONTRATO ")," DE"),_xlpm.c,"CONTRATO "&amp;TEXT(_xlpm.n,"00")&amp;" DE 2026",_xlpm.h,'[1]SECOP II'!$A$1:$CQ$1,_xlpm.d,'[1]SECOP II'!$A$2:$CQ$94,_xlpm.r,INDEX(_xlpm.d,0,MATCH("Referencia del Contrato",_xlpm.h,0)),INDEX(_xlpm.d,MATCH(_xlpm.c,_xlpm.r,0),MATCH("Destino Gasto",_xlpm.h,0))),"")</f>
        <v>Inversión</v>
      </c>
      <c r="S2" s="21" t="str">
        <f>IFERROR(_xlfn.LET(_xlpm.n,--_xlfn.TEXTBEFORE(_xlfn.TEXTAFTER(A2,"CONTRATO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https://community.secop.gov.co/Public/Tendering/OpportunityDetail/Index?noticeUID=CO1.NTC.9484942&amp;isFromPublicArea=True&amp;isModal=true&amp;asPopupView=true</v>
      </c>
      <c r="T2" s="22" t="str">
        <f>IFERROR(_xlfn.LET(_xlpm.h,'[1]SECOP II'!$A$1:$CQ$1,_xlpm.d,'[1]SECOP II'!$A$2:$CQ$94,_xlpm.r,INDEX(_xlpm.d,0,MATCH("Referencia del Contrato",_xlpm.h,0)),INDEX(_xlpm.d,MATCH("CONTRATO 01 DE 2026",_xlpm.r,0),MATCH("Estado Contrato",_xlpm.h,0))),"")</f>
        <v>En ejecución</v>
      </c>
      <c r="U2" s="10" t="str">
        <f>[1]Contratos!C2</f>
        <v>PN</v>
      </c>
      <c r="V2" s="10" t="str">
        <f>[1]Contratos!I2</f>
        <v>RELACIONES CON GRUPOS DE VALOR</v>
      </c>
      <c r="W2" s="23" t="str">
        <f>[1]Contratos!J2</f>
        <v>MARIANA SARMIENTO</v>
      </c>
      <c r="X2" s="24" cm="1">
        <f t="array" ref="X2">IFERROR(VLOOKUP(W2,[1]COORD!$A$27:$B$67, 2, FALSE),[1]COORD!$B$27:$B$67)</f>
        <v>52862292</v>
      </c>
      <c r="Y2" s="25" t="s">
        <v>35</v>
      </c>
      <c r="Z2" s="26">
        <v>1136883773</v>
      </c>
      <c r="AA2" s="27" t="str" cm="1">
        <f t="array" ref="AA2">IF(Y2&lt;&gt;"NIT","N/A",IF(OR(Z2="",Z2="N/A"),"N/A",IF(ISERROR(VALUE(IF(ISNUMBER(FIND("-",TEXT(Z2,"@"))),LEFT(TEXT(Z2,"@"),FIND("-",TEXT(Z2,"@"))-1),TEXT(Z2,"@")))),"N/A",IF(MOD(SUMPRODUCT(VALUE(MID(TEXT(VALUE(IF(ISNUMBER(FIND("-",TEXT(Z2,"@"))),LEFT(TEXT(Z2,"@"),FIND("-",TEXT(Z2,"@"))-1),TEXT(Z2,"@"))),"000000000000000"),{15,14,13,12,11,10,9,8,7,6,5,4,3,2,1},1)),{3,7,13,17,19,23,29,37,41,43,47,53,59,67,71}),11)=0,0,IF(MOD(SUMPRODUCT(VALUE(MID(TEXT(VALUE(IF(ISNUMBER(FIND("-",TEXT(Z2,"@"))),LEFT(TEXT(Z2,"@"),FIND("-",TEXT(Z2,"@"))-1),TEXT(Z2,"@"))),"000000000000000"),{15,14,13,12,11,10,9,8,7,6,5,4,3,2,1},1)),{3,7,13,17,19,23,29,37,41,43,47,53,59,67,71}),11)=1,1,11-MOD(SUMPRODUCT(VALUE(MID(TEXT(VALUE(IF(ISNUMBER(FIND("-",TEXT(Z2,"@"))),LEFT(TEXT(Z2,"@"),FIND("-",TEXT(Z2,"@"))-1),TEXT(Z2,"@"))),"000000000000000"),{15,14,13,12,11,10,9,8,7,6,5,4,3,2,1},1)),{3,7,13,17,19,23,29,37,41,43,47,53,59,67,71}),11))))))</f>
        <v>N/A</v>
      </c>
      <c r="AB2" s="27">
        <v>82131604</v>
      </c>
      <c r="AC2" s="29" t="str">
        <f>[1]Contratos!Z2</f>
        <v>NO</v>
      </c>
      <c r="AD2" s="30">
        <f>O2-M2</f>
        <v>351</v>
      </c>
      <c r="AE2" s="31" t="s">
        <v>37</v>
      </c>
      <c r="AF2" s="31" t="str" cm="1">
        <f t="array" ref="AF2">IF(AG2="","",IFERROR(_xlfn.LET(_xlpm.x,INDEX([1]RP!$Z$2:$Z$706,MATCH(AG2&amp;"",[1]RP!$A$2:$A$706&amp;"",0)),IF(_xlpm.x="","",_xlpm.x)),""))</f>
        <v>826</v>
      </c>
      <c r="AG2" s="31" cm="1">
        <f t="array" ref="AG2">IF(A2="","",IFERROR(_xlfn.LET(_xlpm.rp,[1]RP!$A$2:$A$706,_xlpm.dt,IFERROR(DATE(--LEFT([1]RP!$B$2:$B$706,4),--MID([1]RP!$B$2:$B$706,6,2),--MID([1]RP!$B$2:$B$706,9,2)),0),_xlpm.qid,UPPER(SUBSTITUTE(SUBSTITUTE(SUBSTITUTE(SUBSTITUTE([1]RP!$Q$2:$Q$706,".",""),"-","")," ",""),"O","0")),_xlpm.eid,UPPER(SUBSTITUTE(SUBSTITUTE(SUBSTITUTE(SUBSTITUTE(Z2,".",""),"-","")," ",""),"O","0")),_xlpm.qnm,UPPER(SUBSTITUTE(SUBSTITUTE(SUBSTITUTE(SUBSTITUTE(SUBSTITUTE([1]RP!$R$2:$R$706,".",""),"-","")," ",""),"Á","A"),"É","E")),_xlpm.enm,UPPER(SUBSTITUTE(SUBSTITUTE(SUBSTITUTE(SUBSTITUTE(SUBSTITUTE(B2,".",""),"-",""),"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2,"CONTRATO ")," DE")&amp;"/2026",_xlpm.dm,--ISNUMBER(SEARCH(_xlpm.num,_xlpm.sup)),_xlpm.dif,IF(_xlpm.ok,(1-_xlpm.dm)*1000000+IF(AND(ISNUMBER(M2),M2&gt;0),ABS(_xlpm.dt-M2),0),1E+99),_xlpm.md,MIN(_xlpm.dif),INDEX(_xlfn._xlws.FILTER(_xlpm.rp,(_xlpm.ok&gt;0)*(_xlpm.dif=_xlpm.md)),1)),""))</f>
        <v>2026</v>
      </c>
      <c r="AH2" s="32" cm="1">
        <f t="array" ref="AH2">IF(AF2="","",IFERROR(_xlfn.LET(_xlpm.x,INDEX([1]CDP!$B$2:$B$322,MATCH(AF2&amp;"",[1]CDP!$A$2:$A$322&amp;"",0)),IF(ISNUMBER(_xlpm.x),_xlpm.x,DATE(--LEFT(_xlpm.x,4),--MID(_xlpm.x,6,2),--MID(_xlpm.x,9,2)))),""))</f>
        <v>46029</v>
      </c>
    </row>
    <row r="3" spans="1:34" ht="61.5" customHeight="1" x14ac:dyDescent="0.35">
      <c r="A3" s="1" t="str">
        <f>[1]Contratos!A3</f>
        <v>CONTRATO 02 DE 2026</v>
      </c>
      <c r="B3" s="10" t="str">
        <f>[1]Contratos!B3</f>
        <v xml:space="preserve">ERIK ANDRÉS BARBOSA PARRA  </v>
      </c>
      <c r="C3" s="10" t="str">
        <f>[1]Contratos!E3</f>
        <v>Prestación de servicios profesionales o Apoyo a la gestión</v>
      </c>
      <c r="D3" s="10" t="s">
        <v>38</v>
      </c>
      <c r="E3" s="11" t="str">
        <f>[1]Contratos!F3</f>
        <v>Prestación de servicios profesionales especializados en diseño gráfico y dirección de arte, para apoyar la implementación de la Estrategia de Comunicaciones 2026 de la CRC, mediante la creación de piezas gráficas estáticas y animadas, la diagramación de materiales institucionales y la ejecución de acciones de comunicación interna, externa y digital, entre otras actividades, en articulación con la Coordinación de Relaciones con Grupos de Valor.</v>
      </c>
      <c r="F3" s="12">
        <v>145299786</v>
      </c>
      <c r="G3" s="13">
        <f>[1]Contratos!G3</f>
        <v>145299786</v>
      </c>
      <c r="H3" s="14" t="str">
        <f>IFERROR(VLOOKUP(A3, [1]Otrosí!A:F, 6, FALSE), "0")</f>
        <v>0</v>
      </c>
      <c r="I3" s="13">
        <f t="shared" ref="I3:I66" si="0">SUM(G3:H3)</f>
        <v>145299786</v>
      </c>
      <c r="J3" s="15">
        <f>IFERROR(_xlfn.LET(_xlpm.x,_xlfn.LET(_xlpm.n,--_xlfn.TEXTBEFORE(_xlfn.TEXTAFTER(A3,"CONTRATO ")," DE"),_xlpm.c,"CONTRATO "&amp;TEXT(_xlpm.n,"00")&amp;" DE 2026",_xlpm.h,'[1]SECOP II'!$A$1:$CQ$1,_xlpm.d,'[1]SECOP II'!$A$2:$CQ$94,_xlpm.r,INDEX(_xlpm.d,0,MATCH("Referencia del Contrato",_xlpm.h,0)),INDEX(_xlpm.d,MATCH(_xlpm.c,_xlpm.r,0),MATCH("Valor Pagado",_xlpm.h,0))),_xlfn.NUMBERVALUE(SUBSTITUTE(_xlpm.x,"$",""),".",",")),"")</f>
        <v>94760730</v>
      </c>
      <c r="K3" s="16">
        <f t="shared" ref="K3:K66" si="1">I3-J3</f>
        <v>50539056</v>
      </c>
      <c r="L3" s="17">
        <f t="shared" ref="L3:L66" si="2">IF(OR(A3="",I3=0),"",J3/I3)</f>
        <v>0.65217391304347827</v>
      </c>
      <c r="M3" s="18">
        <f>[1]Contratos!O3</f>
        <v>46036</v>
      </c>
      <c r="N3" s="18">
        <f>[1]Contratos!P3</f>
        <v>46038</v>
      </c>
      <c r="O3" s="18">
        <f>[1]Contratos!Q3</f>
        <v>46387</v>
      </c>
      <c r="P3" s="18" t="str">
        <f>IFERROR(VLOOKUP(A3, [1]Otrosí!A:L, 7, FALSE), "N/A")</f>
        <v>N/A</v>
      </c>
      <c r="Q3" s="19" t="str">
        <f>IFERROR(_xlfn.LET(_xlpm.h,'[1]SECOP II'!$A$1:$CQ$1,_xlpm.d,'[1]SECOP II'!$A$2:$CQ$94,_xlpm.r,INDEX(_xlpm.d,0,MATCH("Referencia del Contrato",_xlpm.h,0)),INDEX(_xlpm.d,MATCH("CONTRATO 02 DE 2026",_xlpm.r,0),MATCH("Tipo de Contrato",_xlpm.h,0))),"")</f>
        <v>Prestación de servicios</v>
      </c>
      <c r="R3" s="20" t="str">
        <f>IFERROR(_xlfn.LET(_xlpm.n,--_xlfn.TEXTBEFORE(_xlfn.TEXTAFTER(A3,"CONTRATO ")," DE"),_xlpm.c,"CONTRATO "&amp;TEXT(_xlpm.n,"00")&amp;" DE 2026",_xlpm.h,'[1]SECOP II'!$A$1:$CQ$1,_xlpm.d,'[1]SECOP II'!$A$2:$CQ$94,_xlpm.r,INDEX(_xlpm.d,0,MATCH("Referencia del Contrato",_xlpm.h,0)),INDEX(_xlpm.d,MATCH(_xlpm.c,_xlpm.r,0),MATCH("Destino Gasto",_xlpm.h,0))),"")</f>
        <v>Inversión</v>
      </c>
      <c r="S3" s="21" t="str">
        <f>IFERROR(_xlfn.LET(_xlpm.n,--_xlfn.TEXTBEFORE(_xlfn.TEXTAFTER(A3,"CONTRATO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https://community.secop.gov.co/Public/Tendering/OpportunityDetail/Index?noticeUID=CO1.NTC.9485612&amp;isFromPublicArea=True&amp;isModal=true&amp;asPopupView=true</v>
      </c>
      <c r="T3" s="22" t="str">
        <f>IFERROR(_xlfn.LET(_xlpm.h,'[1]SECOP II'!$A$1:$CQ$1,_xlpm.d,'[1]SECOP II'!$A$2:$CQ$94,_xlpm.r,INDEX(_xlpm.d,0,MATCH("Referencia del Contrato",_xlpm.h,0)),INDEX(_xlpm.d,MATCH("CONTRATO 02 DE 2026",_xlpm.r,0),MATCH("Estado Contrato",_xlpm.h,0))),"")</f>
        <v>En ejecución</v>
      </c>
      <c r="U3" s="10" t="str">
        <f>[1]Contratos!C3</f>
        <v>PN</v>
      </c>
      <c r="V3" s="10" t="str">
        <f>[1]Contratos!I3</f>
        <v>RELACIONES CON GRUPOS DE VALOR</v>
      </c>
      <c r="W3" s="23" t="str">
        <f>[1]Contratos!J3</f>
        <v>MARIANA SARMIENTO</v>
      </c>
      <c r="X3" s="24" cm="1">
        <f t="array" ref="X3">IFERROR(VLOOKUP(W3,[1]COORD!$A$27:$B$67, 2, FALSE),[1]COORD!$B$27:$B$67)</f>
        <v>52862292</v>
      </c>
      <c r="Y3" s="25" t="s">
        <v>35</v>
      </c>
      <c r="Z3" s="26">
        <v>80816060</v>
      </c>
      <c r="AA3" s="27" t="str" cm="1">
        <f t="array" ref="AA3">IF(Y3&lt;&gt;"NIT","N/A",IF(OR(Z3="",Z3="N/A"),"N/A",IF(ISERROR(VALUE(IF(ISNUMBER(FIND("-",TEXT(Z3,"@"))),LEFT(TEXT(Z3,"@"),FIND("-",TEXT(Z3,"@"))-1),TEXT(Z3,"@")))),"N/A",IF(MOD(SUMPRODUCT(VALUE(MID(TEXT(VALUE(IF(ISNUMBER(FIND("-",TEXT(Z3,"@"))),LEFT(TEXT(Z3,"@"),FIND("-",TEXT(Z3,"@"))-1),TEXT(Z3,"@"))),"000000000000000"),{15,14,13,12,11,10,9,8,7,6,5,4,3,2,1},1)),{3,7,13,17,19,23,29,37,41,43,47,53,59,67,71}),11)=0,0,IF(MOD(SUMPRODUCT(VALUE(MID(TEXT(VALUE(IF(ISNUMBER(FIND("-",TEXT(Z3,"@"))),LEFT(TEXT(Z3,"@"),FIND("-",TEXT(Z3,"@"))-1),TEXT(Z3,"@"))),"000000000000000"),{15,14,13,12,11,10,9,8,7,6,5,4,3,2,1},1)),{3,7,13,17,19,23,29,37,41,43,47,53,59,67,71}),11)=1,1,11-MOD(SUMPRODUCT(VALUE(MID(TEXT(VALUE(IF(ISNUMBER(FIND("-",TEXT(Z3,"@"))),LEFT(TEXT(Z3,"@"),FIND("-",TEXT(Z3,"@"))-1),TEXT(Z3,"@"))),"000000000000000"),{15,14,13,12,11,10,9,8,7,6,5,4,3,2,1},1)),{3,7,13,17,19,23,29,37,41,43,47,53,59,67,71}),11))))))</f>
        <v>N/A</v>
      </c>
      <c r="AB3" s="27">
        <v>82141504</v>
      </c>
      <c r="AC3" s="29" t="str">
        <f>[1]Contratos!Z3</f>
        <v>NO</v>
      </c>
      <c r="AD3" s="30">
        <f t="shared" ref="AD3:AD66" si="3">O3-M3</f>
        <v>351</v>
      </c>
      <c r="AE3" s="31" t="s">
        <v>37</v>
      </c>
      <c r="AF3" s="31" t="str" cm="1">
        <f t="array" ref="AF3">IF(AG3="","",IFERROR(_xlfn.LET(_xlpm.x,INDEX([1]RP!$Z$2:$Z$706,MATCH(AG3&amp;"",[1]RP!$A$2:$A$706&amp;"",0)),IF(_xlpm.x="","",_xlpm.x)),""))</f>
        <v>926</v>
      </c>
      <c r="AG3" s="31" cm="1">
        <f t="array" ref="AG3">IF(A3="","",IFERROR(_xlfn.LET(_xlpm.rp,[1]RP!$A$2:$A$706,_xlpm.dt,IFERROR(DATE(--LEFT([1]RP!$B$2:$B$706,4),--MID([1]RP!$B$2:$B$706,6,2),--MID([1]RP!$B$2:$B$706,9,2)),0),_xlpm.qid,UPPER(SUBSTITUTE(SUBSTITUTE(SUBSTITUTE(SUBSTITUTE([1]RP!$Q$2:$Q$706,".",""),"-","")," ",""),"O","0")),_xlpm.eid,UPPER(SUBSTITUTE(SUBSTITUTE(SUBSTITUTE(SUBSTITUTE(Z3,".",""),"-","")," ",""),"O","0")),_xlpm.qnm,UPPER(SUBSTITUTE(SUBSTITUTE(SUBSTITUTE(SUBSTITUTE(SUBSTITUTE([1]RP!$R$2:$R$706,".",""),"-","")," ",""),"Á","A"),"É","E")),_xlpm.enm,UPPER(SUBSTITUTE(SUBSTITUTE(SUBSTITUTE(SUBSTITUTE(SUBSTITUTE(B3,".",""),"-",""),"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3,"CONTRATO ")," DE")&amp;"/2026",_xlpm.dm,--ISNUMBER(SEARCH(_xlpm.num,_xlpm.sup)),_xlpm.dif,IF(_xlpm.ok,(1-_xlpm.dm)*1000000+IF(AND(ISNUMBER(M3),M3&gt;0),ABS(_xlpm.dt-M3),0),1E+99),_xlpm.md,MIN(_xlpm.dif),INDEX(_xlfn._xlws.FILTER(_xlpm.rp,(_xlpm.ok&gt;0)*(_xlpm.dif=_xlpm.md)),1)),""))</f>
        <v>2126</v>
      </c>
      <c r="AH3" s="32" cm="1">
        <f t="array" ref="AH3">IF(AF3="","",IFERROR(_xlfn.LET(_xlpm.x,INDEX([1]CDP!$B$2:$B$322,MATCH(AF3&amp;"",[1]CDP!$A$2:$A$322&amp;"",0)),IF(ISNUMBER(_xlpm.x),_xlpm.x,DATE(--LEFT(_xlpm.x,4),--MID(_xlpm.x,6,2),--MID(_xlpm.x,9,2)))),""))</f>
        <v>46029</v>
      </c>
    </row>
    <row r="4" spans="1:34" ht="61.5" customHeight="1" x14ac:dyDescent="0.35">
      <c r="A4" s="1" t="str">
        <f>[1]Contratos!A4</f>
        <v>CONTRATO 03 DE 2026</v>
      </c>
      <c r="B4" s="10" t="str">
        <f>[1]Contratos!B4</f>
        <v>JAVIER ENRIQUE OVALLE BURBANO</v>
      </c>
      <c r="C4" s="10" t="str">
        <f>[1]Contratos!E4</f>
        <v>Prestación de servicios profesionales o Apoyo a la gestión</v>
      </c>
      <c r="D4" s="10" t="s">
        <v>39</v>
      </c>
      <c r="E4" s="11" t="str">
        <f>[1]Contratos!F4</f>
        <v>Brindar apoyo técnico especializado para analizar solicitudes de homologación y emitir conceptos técnicos de viabilidad, en cumplimiento de las directrices establecidas en el Plan de Acción 2026 de la Comisión de Regulación de Comunicaciones, orientado a la homologación de equipos terminales móviles (ETM).</v>
      </c>
      <c r="F4" s="12">
        <v>43103587</v>
      </c>
      <c r="G4" s="13">
        <f>[1]Contratos!G4</f>
        <v>43103587</v>
      </c>
      <c r="H4" s="14" t="str">
        <f>IFERROR(VLOOKUP(A4, [1]Otrosí!A:F, 6, FALSE), "0")</f>
        <v>0</v>
      </c>
      <c r="I4" s="13">
        <f t="shared" si="0"/>
        <v>43103587</v>
      </c>
      <c r="J4" s="15">
        <f>IFERROR(_xlfn.LET(_xlpm.x,_xlfn.LET(_xlpm.n,--_xlfn.TEXTBEFORE(_xlfn.TEXTAFTER(A4,"CONTRATO ")," DE"),_xlpm.c,"CONTRATO "&amp;TEXT(_xlpm.n,"00")&amp;" DE 2026",_xlpm.h,'[1]SECOP II'!$A$1:$CQ$1,_xlpm.d,'[1]SECOP II'!$A$2:$CQ$94,_xlpm.r,INDEX(_xlpm.d,0,MATCH("Referencia del Contrato",_xlpm.h,0)),INDEX(_xlpm.d,MATCH(_xlpm.c,_xlpm.r,0),MATCH("Valor Pagado",_xlpm.h,0))),_xlfn.NUMBERVALUE(SUBSTITUTE(_xlpm.x,"$",""),".",",")),"")</f>
        <v>31859173</v>
      </c>
      <c r="K4" s="16">
        <f t="shared" si="1"/>
        <v>11244414</v>
      </c>
      <c r="L4" s="17">
        <f t="shared" si="2"/>
        <v>0.73913043478260865</v>
      </c>
      <c r="M4" s="18">
        <f>[1]Contratos!O4</f>
        <v>46036</v>
      </c>
      <c r="N4" s="18">
        <f>[1]Contratos!P4</f>
        <v>46038</v>
      </c>
      <c r="O4" s="18">
        <f>[1]Contratos!Q4</f>
        <v>46387</v>
      </c>
      <c r="P4" s="18" t="str">
        <f>IFERROR(VLOOKUP(A4, [1]Otrosí!A:L, 7, FALSE), "N/A")</f>
        <v>N/A</v>
      </c>
      <c r="Q4" s="19" t="str">
        <f>IFERROR(_xlfn.LET(_xlpm.h,'[1]SECOP II'!$A$1:$CQ$1,_xlpm.d,'[1]SECOP II'!$A$2:$CQ$94,_xlpm.r,INDEX(_xlpm.d,0,MATCH("Referencia del Contrato",_xlpm.h,0)),INDEX(_xlpm.d,MATCH("CONTRATO 03 DE 2026",_xlpm.r,0),MATCH("Tipo de Contrato",_xlpm.h,0))),"")</f>
        <v>Prestación de servicios</v>
      </c>
      <c r="R4" s="20" t="str">
        <f>IFERROR(_xlfn.LET(_xlpm.n,--_xlfn.TEXTBEFORE(_xlfn.TEXTAFTER(A4,"CONTRATO ")," DE"),_xlpm.c,"CONTRATO "&amp;TEXT(_xlpm.n,"00")&amp;" DE 2026",_xlpm.h,'[1]SECOP II'!$A$1:$CQ$1,_xlpm.d,'[1]SECOP II'!$A$2:$CQ$94,_xlpm.r,INDEX(_xlpm.d,0,MATCH("Referencia del Contrato",_xlpm.h,0)),INDEX(_xlpm.d,MATCH(_xlpm.c,_xlpm.r,0),MATCH("Destino Gasto",_xlpm.h,0))),"")</f>
        <v>Inversión</v>
      </c>
      <c r="S4" s="21" t="str">
        <f>IFERROR(_xlfn.LET(_xlpm.n,--_xlfn.TEXTBEFORE(_xlfn.TEXTAFTER(A4,"CONTRATO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https://community.secop.gov.co/Public/Tendering/OpportunityDetail/Index?noticeUID=CO1.NTC.9485969&amp;isFromPublicArea=True&amp;isModal=true&amp;asPopupView=true</v>
      </c>
      <c r="T4" s="22" t="str">
        <f>IFERROR(_xlfn.LET(_xlpm.h,'[1]SECOP II'!$A$1:$CQ$1,_xlpm.d,'[1]SECOP II'!$A$2:$CQ$94,_xlpm.r,INDEX(_xlpm.d,0,MATCH("Referencia del Contrato",_xlpm.h,0)),INDEX(_xlpm.d,MATCH("CONTRATO 03 DE 2026",_xlpm.r,0),MATCH("Estado Contrato",_xlpm.h,0))),"")</f>
        <v>En ejecución</v>
      </c>
      <c r="U4" s="10" t="str">
        <f>[1]Contratos!C4</f>
        <v>PN</v>
      </c>
      <c r="V4" s="10" t="str">
        <f>[1]Contratos!I4</f>
        <v>RELACIONES CON GRUPOS DE VALOR</v>
      </c>
      <c r="W4" s="23" t="str">
        <f>[1]Contratos!J4</f>
        <v>MARIANA SARMIENTO</v>
      </c>
      <c r="X4" s="24" cm="1">
        <f t="array" ref="X4">IFERROR(VLOOKUP(W4,[1]COORD!$A$27:$B$67, 2, FALSE),[1]COORD!$B$27:$B$67)</f>
        <v>52862292</v>
      </c>
      <c r="Y4" s="25" t="s">
        <v>35</v>
      </c>
      <c r="Z4" s="26">
        <v>1136885834</v>
      </c>
      <c r="AA4" s="27" t="str" cm="1">
        <f t="array" ref="AA4">IF(Y4&lt;&gt;"NIT","N/A",IF(OR(Z4="",Z4="N/A"),"N/A",IF(ISERROR(VALUE(IF(ISNUMBER(FIND("-",TEXT(Z4,"@"))),LEFT(TEXT(Z4,"@"),FIND("-",TEXT(Z4,"@"))-1),TEXT(Z4,"@")))),"N/A",IF(MOD(SUMPRODUCT(VALUE(MID(TEXT(VALUE(IF(ISNUMBER(FIND("-",TEXT(Z4,"@"))),LEFT(TEXT(Z4,"@"),FIND("-",TEXT(Z4,"@"))-1),TEXT(Z4,"@"))),"000000000000000"),{15,14,13,12,11,10,9,8,7,6,5,4,3,2,1},1)),{3,7,13,17,19,23,29,37,41,43,47,53,59,67,71}),11)=0,0,IF(MOD(SUMPRODUCT(VALUE(MID(TEXT(VALUE(IF(ISNUMBER(FIND("-",TEXT(Z4,"@"))),LEFT(TEXT(Z4,"@"),FIND("-",TEXT(Z4,"@"))-1),TEXT(Z4,"@"))),"000000000000000"),{15,14,13,12,11,10,9,8,7,6,5,4,3,2,1},1)),{3,7,13,17,19,23,29,37,41,43,47,53,59,67,71}),11)=1,1,11-MOD(SUMPRODUCT(VALUE(MID(TEXT(VALUE(IF(ISNUMBER(FIND("-",TEXT(Z4,"@"))),LEFT(TEXT(Z4,"@"),FIND("-",TEXT(Z4,"@"))-1),TEXT(Z4,"@"))),"000000000000000"),{15,14,13,12,11,10,9,8,7,6,5,4,3,2,1},1)),{3,7,13,17,19,23,29,37,41,43,47,53,59,67,71}),11))))))</f>
        <v>N/A</v>
      </c>
      <c r="AB4" s="27">
        <v>81111500</v>
      </c>
      <c r="AC4" s="29" t="str">
        <f>[1]Contratos!Z4</f>
        <v>NO</v>
      </c>
      <c r="AD4" s="30">
        <f t="shared" si="3"/>
        <v>351</v>
      </c>
      <c r="AE4" s="31" t="s">
        <v>37</v>
      </c>
      <c r="AF4" s="31" t="str" cm="1">
        <f t="array" ref="AF4">IF(AG4="","",IFERROR(_xlfn.LET(_xlpm.x,INDEX([1]RP!$Z$2:$Z$706,MATCH(AG4&amp;"",[1]RP!$A$2:$A$706&amp;"",0)),IF(_xlpm.x="","",_xlpm.x)),""))</f>
        <v>1326</v>
      </c>
      <c r="AG4" s="31" cm="1">
        <f t="array" ref="AG4">IF(A4="","",IFERROR(_xlfn.LET(_xlpm.rp,[1]RP!$A$2:$A$706,_xlpm.dt,IFERROR(DATE(--LEFT([1]RP!$B$2:$B$706,4),--MID([1]RP!$B$2:$B$706,6,2),--MID([1]RP!$B$2:$B$706,9,2)),0),_xlpm.qid,UPPER(SUBSTITUTE(SUBSTITUTE(SUBSTITUTE(SUBSTITUTE([1]RP!$Q$2:$Q$706,".",""),"-","")," ",""),"O","0")),_xlpm.eid,UPPER(SUBSTITUTE(SUBSTITUTE(SUBSTITUTE(SUBSTITUTE(Z4,".",""),"-","")," ",""),"O","0")),_xlpm.qnm,UPPER(SUBSTITUTE(SUBSTITUTE(SUBSTITUTE(SUBSTITUTE(SUBSTITUTE([1]RP!$R$2:$R$706,".",""),"-","")," ",""),"Á","A"),"É","E")),_xlpm.enm,UPPER(SUBSTITUTE(SUBSTITUTE(SUBSTITUTE(SUBSTITUTE(SUBSTITUTE(B4,".",""),"-",""),"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4,"CONTRATO ")," DE")&amp;"/2026",_xlpm.dm,--ISNUMBER(SEARCH(_xlpm.num,_xlpm.sup)),_xlpm.dif,IF(_xlpm.ok,(1-_xlpm.dm)*1000000+IF(AND(ISNUMBER(M4),M4&gt;0),ABS(_xlpm.dt-M4),0),1E+99),_xlpm.md,MIN(_xlpm.dif),INDEX(_xlfn._xlws.FILTER(_xlpm.rp,(_xlpm.ok&gt;0)*(_xlpm.dif=_xlpm.md)),1)),""))</f>
        <v>2226</v>
      </c>
      <c r="AH4" s="32" cm="1">
        <f t="array" ref="AH4">IF(AF4="","",IFERROR(_xlfn.LET(_xlpm.x,INDEX([1]CDP!$B$2:$B$322,MATCH(AF4&amp;"",[1]CDP!$A$2:$A$322&amp;"",0)),IF(ISNUMBER(_xlpm.x),_xlpm.x,DATE(--LEFT(_xlpm.x,4),--MID(_xlpm.x,6,2),--MID(_xlpm.x,9,2)))),""))</f>
        <v>46029</v>
      </c>
    </row>
    <row r="5" spans="1:34" ht="61.5" customHeight="1" x14ac:dyDescent="0.35">
      <c r="A5" s="1" t="str">
        <f>[1]Contratos!A5</f>
        <v>CONTRATO 04 DE 2026</v>
      </c>
      <c r="B5" s="10" t="str">
        <f>[1]Contratos!B5</f>
        <v>JUAN CAMILO PEÑA VERGARA</v>
      </c>
      <c r="C5" s="10" t="str">
        <f>[1]Contratos!E5</f>
        <v>Prestación de servicios profesionales o Apoyo a la gestión</v>
      </c>
      <c r="D5" s="10" t="s">
        <v>40</v>
      </c>
      <c r="E5" s="11" t="str">
        <f>[1]Contratos!F5</f>
        <v>Prestar apoyo profesional especializado en la implementación, ejecución, seguimiento y optimización de la Estrategia de Comunicaciones 2026, mediante la gestión integral de redes sociales y demás canales digitales institucionales, la planificación y producción de contenidos creativos, accesibles y estratégicos, el monitoreo y análisis de indicadores de desempeño digital y la interacción con los diferentes grupos de valor, garantizando la coherencia con los principios de lenguaje claro, comunicación inclusiva, transparencia, participación ciudadana e identidad institucional definidos por la CRC.</v>
      </c>
      <c r="F5" s="12">
        <v>132809947</v>
      </c>
      <c r="G5" s="13">
        <f>[1]Contratos!G5</f>
        <v>132809947</v>
      </c>
      <c r="H5" s="14" t="str">
        <f>IFERROR(VLOOKUP(A5, [1]Otrosí!A:F, 6, FALSE), "0")</f>
        <v>0</v>
      </c>
      <c r="I5" s="13">
        <f t="shared" si="0"/>
        <v>132809947</v>
      </c>
      <c r="J5" s="15">
        <f>IFERROR(_xlfn.LET(_xlpm.x,_xlfn.LET(_xlpm.n,--_xlfn.TEXTBEFORE(_xlfn.TEXTAFTER(A5,"CONTRATO ")," DE"),_xlpm.c,"CONTRATO "&amp;TEXT(_xlpm.n,"00")&amp;" DE 2026",_xlpm.h,'[1]SECOP II'!$A$1:$CQ$1,_xlpm.d,'[1]SECOP II'!$A$2:$CQ$94,_xlpm.r,INDEX(_xlpm.d,0,MATCH("Referencia del Contrato",_xlpm.h,0)),INDEX(_xlpm.d,MATCH(_xlpm.c,_xlpm.r,0),MATCH("Valor Pagado",_xlpm.h,0))),_xlfn.NUMBERVALUE(SUBSTITUTE(_xlpm.x,"$",""),".",",")),"")</f>
        <v>86615182.5</v>
      </c>
      <c r="K5" s="16">
        <f t="shared" si="1"/>
        <v>46194764.5</v>
      </c>
      <c r="L5" s="17">
        <f t="shared" si="2"/>
        <v>0.65217391058818808</v>
      </c>
      <c r="M5" s="18">
        <f>[1]Contratos!O5</f>
        <v>46036</v>
      </c>
      <c r="N5" s="18">
        <f>[1]Contratos!P5</f>
        <v>46038</v>
      </c>
      <c r="O5" s="18">
        <f>[1]Contratos!Q5</f>
        <v>46387</v>
      </c>
      <c r="P5" s="18" t="str">
        <f>IFERROR(VLOOKUP(A5, [1]Otrosí!A:L, 7, FALSE), "N/A")</f>
        <v>N/A</v>
      </c>
      <c r="Q5" s="19" t="str">
        <f>IFERROR(_xlfn.LET(_xlpm.h,'[1]SECOP II'!$A$1:$CQ$1,_xlpm.d,'[1]SECOP II'!$A$2:$CQ$94,_xlpm.r,INDEX(_xlpm.d,0,MATCH("Referencia del Contrato",_xlpm.h,0)),INDEX(_xlpm.d,MATCH("CONTRATO 04 DE 2026",_xlpm.r,0),MATCH("Tipo de Contrato",_xlpm.h,0))),"")</f>
        <v>Prestación de servicios</v>
      </c>
      <c r="R5" s="20" t="str">
        <f>IFERROR(_xlfn.LET(_xlpm.n,--_xlfn.TEXTBEFORE(_xlfn.TEXTAFTER(A5,"CONTRATO ")," DE"),_xlpm.c,"CONTRATO "&amp;TEXT(_xlpm.n,"00")&amp;" DE 2026",_xlpm.h,'[1]SECOP II'!$A$1:$CQ$1,_xlpm.d,'[1]SECOP II'!$A$2:$CQ$94,_xlpm.r,INDEX(_xlpm.d,0,MATCH("Referencia del Contrato",_xlpm.h,0)),INDEX(_xlpm.d,MATCH(_xlpm.c,_xlpm.r,0),MATCH("Destino Gasto",_xlpm.h,0))),"")</f>
        <v>Inversión</v>
      </c>
      <c r="S5" s="21" t="str">
        <f>IFERROR(_xlfn.LET(_xlpm.n,--_xlfn.TEXTBEFORE(_xlfn.TEXTAFTER(A5,"CONTRATO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https://community.secop.gov.co/Public/Tendering/OpportunityDetail/Index?noticeUID=CO1.NTC.9485897&amp;isFromPublicArea=True&amp;isModal=true&amp;asPopupView=true</v>
      </c>
      <c r="T5" s="22" t="str">
        <f>IFERROR(_xlfn.LET(_xlpm.h,'[1]SECOP II'!$A$1:$CQ$1,_xlpm.d,'[1]SECOP II'!$A$2:$CQ$94,_xlpm.r,INDEX(_xlpm.d,0,MATCH("Referencia del Contrato",_xlpm.h,0)),INDEX(_xlpm.d,MATCH("CONTRATO 04 DE 2026",_xlpm.r,0),MATCH("Estado Contrato",_xlpm.h,0))),"")</f>
        <v>En ejecución</v>
      </c>
      <c r="U5" s="10" t="str">
        <f>[1]Contratos!C5</f>
        <v>PN</v>
      </c>
      <c r="V5" s="10" t="str">
        <f>[1]Contratos!I5</f>
        <v>RELACIONES CON GRUPOS DE VALOR</v>
      </c>
      <c r="W5" s="23" t="str">
        <f>[1]Contratos!J5</f>
        <v>MARIANA SARMIENTO</v>
      </c>
      <c r="X5" s="24" cm="1">
        <f t="array" ref="X5">IFERROR(VLOOKUP(W5,[1]COORD!$A$27:$B$67, 2, FALSE),[1]COORD!$B$27:$B$67)</f>
        <v>52862292</v>
      </c>
      <c r="Y5" s="25" t="s">
        <v>35</v>
      </c>
      <c r="Z5" s="26">
        <v>1014182808</v>
      </c>
      <c r="AA5" s="27" t="str" cm="1">
        <f t="array" ref="AA5">IF(Y5&lt;&gt;"NIT","N/A",IF(OR(Z5="",Z5="N/A"),"N/A",IF(ISERROR(VALUE(IF(ISNUMBER(FIND("-",TEXT(Z5,"@"))),LEFT(TEXT(Z5,"@"),FIND("-",TEXT(Z5,"@"))-1),TEXT(Z5,"@")))),"N/A",IF(MOD(SUMPRODUCT(VALUE(MID(TEXT(VALUE(IF(ISNUMBER(FIND("-",TEXT(Z5,"@"))),LEFT(TEXT(Z5,"@"),FIND("-",TEXT(Z5,"@"))-1),TEXT(Z5,"@"))),"000000000000000"),{15,14,13,12,11,10,9,8,7,6,5,4,3,2,1},1)),{3,7,13,17,19,23,29,37,41,43,47,53,59,67,71}),11)=0,0,IF(MOD(SUMPRODUCT(VALUE(MID(TEXT(VALUE(IF(ISNUMBER(FIND("-",TEXT(Z5,"@"))),LEFT(TEXT(Z5,"@"),FIND("-",TEXT(Z5,"@"))-1),TEXT(Z5,"@"))),"000000000000000"),{15,14,13,12,11,10,9,8,7,6,5,4,3,2,1},1)),{3,7,13,17,19,23,29,37,41,43,47,53,59,67,71}),11)=1,1,11-MOD(SUMPRODUCT(VALUE(MID(TEXT(VALUE(IF(ISNUMBER(FIND("-",TEXT(Z5,"@"))),LEFT(TEXT(Z5,"@"),FIND("-",TEXT(Z5,"@"))-1),TEXT(Z5,"@"))),"000000000000000"),{15,14,13,12,11,10,9,8,7,6,5,4,3,2,1},1)),{3,7,13,17,19,23,29,37,41,43,47,53,59,67,71}),11))))))</f>
        <v>N/A</v>
      </c>
      <c r="AB5" s="27">
        <v>83121703</v>
      </c>
      <c r="AC5" s="29" t="str">
        <f>[1]Contratos!Z5</f>
        <v>NO</v>
      </c>
      <c r="AD5" s="30">
        <f t="shared" si="3"/>
        <v>351</v>
      </c>
      <c r="AE5" s="31" t="s">
        <v>37</v>
      </c>
      <c r="AF5" s="31" t="str" cm="1">
        <f t="array" ref="AF5">IF(AG5="","",IFERROR(_xlfn.LET(_xlpm.x,INDEX([1]RP!$Z$2:$Z$706,MATCH(AG5&amp;"",[1]RP!$A$2:$A$706&amp;"",0)),IF(_xlpm.x="","",_xlpm.x)),""))</f>
        <v>1026</v>
      </c>
      <c r="AG5" s="31" cm="1">
        <f t="array" ref="AG5">IF(A5="","",IFERROR(_xlfn.LET(_xlpm.rp,[1]RP!$A$2:$A$706,_xlpm.dt,IFERROR(DATE(--LEFT([1]RP!$B$2:$B$706,4),--MID([1]RP!$B$2:$B$706,6,2),--MID([1]RP!$B$2:$B$706,9,2)),0),_xlpm.qid,UPPER(SUBSTITUTE(SUBSTITUTE(SUBSTITUTE(SUBSTITUTE([1]RP!$Q$2:$Q$706,".",""),"-","")," ",""),"O","0")),_xlpm.eid,UPPER(SUBSTITUTE(SUBSTITUTE(SUBSTITUTE(SUBSTITUTE(Z5,".",""),"-","")," ",""),"O","0")),_xlpm.qnm,UPPER(SUBSTITUTE(SUBSTITUTE(SUBSTITUTE(SUBSTITUTE(SUBSTITUTE([1]RP!$R$2:$R$706,".",""),"-","")," ",""),"Á","A"),"É","E")),_xlpm.enm,UPPER(SUBSTITUTE(SUBSTITUTE(SUBSTITUTE(SUBSTITUTE(SUBSTITUTE(B5,".",""),"-",""),"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5,"CONTRATO ")," DE")&amp;"/2026",_xlpm.dm,--ISNUMBER(SEARCH(_xlpm.num,_xlpm.sup)),_xlpm.dif,IF(_xlpm.ok,(1-_xlpm.dm)*1000000+IF(AND(ISNUMBER(M5),M5&gt;0),ABS(_xlpm.dt-M5),0),1E+99),_xlpm.md,MIN(_xlpm.dif),INDEX(_xlfn._xlws.FILTER(_xlpm.rp,(_xlpm.ok&gt;0)*(_xlpm.dif=_xlpm.md)),1)),""))</f>
        <v>2326</v>
      </c>
      <c r="AH5" s="32" cm="1">
        <f t="array" ref="AH5">IF(AF5="","",IFERROR(_xlfn.LET(_xlpm.x,INDEX([1]CDP!$B$2:$B$322,MATCH(AF5&amp;"",[1]CDP!$A$2:$A$322&amp;"",0)),IF(ISNUMBER(_xlpm.x),_xlpm.x,DATE(--LEFT(_xlpm.x,4),--MID(_xlpm.x,6,2),--MID(_xlpm.x,9,2)))),""))</f>
        <v>46029</v>
      </c>
    </row>
    <row r="6" spans="1:34" ht="61.5" customHeight="1" x14ac:dyDescent="0.35">
      <c r="A6" s="1" t="str">
        <f>[1]Contratos!A6</f>
        <v>CONTRATO 05 DE 2026</v>
      </c>
      <c r="B6" s="10" t="str">
        <f>[1]Contratos!B6</f>
        <v>JUAN MANUEL VELASCO CEPEDA</v>
      </c>
      <c r="C6" s="10" t="str">
        <f>[1]Contratos!E6</f>
        <v>Prestación de servicios profesionales o Apoyo a la gestión</v>
      </c>
      <c r="D6" s="10" t="s">
        <v>41</v>
      </c>
      <c r="E6" s="11" t="str">
        <f>[1]Contratos!F6</f>
        <v>Prestar los servicios profesionales para la administración, actualización y gestión técnica y de contenidos del portal web institucional y demás canales digitales de la Comisión de Regulación de Comunicaciones (CRC), en cumplimiento de la Estrategia de Comunicaciones 2026 y de los lineamientos de accesibilidad, transparencia y gobierno digital.</v>
      </c>
      <c r="F6" s="12">
        <v>128314988</v>
      </c>
      <c r="G6" s="13">
        <f>[1]Contratos!G6</f>
        <v>128314988</v>
      </c>
      <c r="H6" s="14" t="str">
        <f>IFERROR(VLOOKUP(A6, [1]Otrosí!A:F, 6, FALSE), "0")</f>
        <v>0</v>
      </c>
      <c r="I6" s="13">
        <f t="shared" si="0"/>
        <v>128314988</v>
      </c>
      <c r="J6" s="15">
        <f>IFERROR(_xlfn.LET(_xlpm.x,_xlfn.LET(_xlpm.n,--_xlfn.TEXTBEFORE(_xlfn.TEXTAFTER(A6,"CONTRATO ")," DE"),_xlpm.c,"CONTRATO "&amp;TEXT(_xlpm.n,"00")&amp;" DE 2026",_xlpm.h,'[1]SECOP II'!$A$1:$CQ$1,_xlpm.d,'[1]SECOP II'!$A$2:$CQ$94,_xlpm.r,INDEX(_xlpm.d,0,MATCH("Referencia del Contrato",_xlpm.h,0)),INDEX(_xlpm.d,MATCH(_xlpm.c,_xlpm.r,0),MATCH("Valor Pagado",_xlpm.h,0))),_xlfn.NUMBERVALUE(SUBSTITUTE(_xlpm.x,"$",""),".",",")),"")</f>
        <v>83683687.5</v>
      </c>
      <c r="K6" s="16">
        <f t="shared" si="1"/>
        <v>44631300.5</v>
      </c>
      <c r="L6" s="17">
        <f t="shared" si="2"/>
        <v>0.65217391050217766</v>
      </c>
      <c r="M6" s="18">
        <f>[1]Contratos!O6</f>
        <v>46036</v>
      </c>
      <c r="N6" s="18">
        <f>[1]Contratos!P6</f>
        <v>46038</v>
      </c>
      <c r="O6" s="18">
        <f>[1]Contratos!Q6</f>
        <v>46387</v>
      </c>
      <c r="P6" s="18" t="str">
        <f>IFERROR(VLOOKUP(A6, [1]Otrosí!A:L, 7, FALSE), "N/A")</f>
        <v>N/A</v>
      </c>
      <c r="Q6" s="19" t="str">
        <f>IFERROR(_xlfn.LET(_xlpm.h,'[1]SECOP II'!$A$1:$CQ$1,_xlpm.d,'[1]SECOP II'!$A$2:$CQ$94,_xlpm.r,INDEX(_xlpm.d,0,MATCH("Referencia del Contrato",_xlpm.h,0)),INDEX(_xlpm.d,MATCH("CONTRATO 05 DE 2026",_xlpm.r,0),MATCH("Tipo de Contrato",_xlpm.h,0))),"")</f>
        <v>Prestación de servicios</v>
      </c>
      <c r="R6" s="20" t="str">
        <f>IFERROR(_xlfn.LET(_xlpm.n,--_xlfn.TEXTBEFORE(_xlfn.TEXTAFTER(A6,"CONTRATO ")," DE"),_xlpm.c,"CONTRATO "&amp;TEXT(_xlpm.n,"00")&amp;" DE 2026",_xlpm.h,'[1]SECOP II'!$A$1:$CQ$1,_xlpm.d,'[1]SECOP II'!$A$2:$CQ$94,_xlpm.r,INDEX(_xlpm.d,0,MATCH("Referencia del Contrato",_xlpm.h,0)),INDEX(_xlpm.d,MATCH(_xlpm.c,_xlpm.r,0),MATCH("Destino Gasto",_xlpm.h,0))),"")</f>
        <v>Inversión</v>
      </c>
      <c r="S6" s="21" t="str">
        <f>IFERROR(_xlfn.LET(_xlpm.n,--_xlfn.TEXTBEFORE(_xlfn.TEXTAFTER(A6,"CONTRATO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https://community.secop.gov.co/Public/Tendering/OpportunityDetail/Index?noticeUID=CO1.NTC.9486485&amp;isFromPublicArea=True&amp;isModal=true&amp;asPopupView=true</v>
      </c>
      <c r="T6" s="22" t="str">
        <f>IFERROR(_xlfn.LET(_xlpm.h,'[1]SECOP II'!$A$1:$CQ$1,_xlpm.d,'[1]SECOP II'!$A$2:$CQ$94,_xlpm.r,INDEX(_xlpm.d,0,MATCH("Referencia del Contrato",_xlpm.h,0)),INDEX(_xlpm.d,MATCH("CONTRATO 05 DE 2026",_xlpm.r,0),MATCH("Estado Contrato",_xlpm.h,0))),"")</f>
        <v>En ejecución</v>
      </c>
      <c r="U6" s="10" t="str">
        <f>[1]Contratos!C6</f>
        <v>PN</v>
      </c>
      <c r="V6" s="10" t="str">
        <f>[1]Contratos!I6</f>
        <v>RELACIONES CON GRUPOS DE VALOR</v>
      </c>
      <c r="W6" s="23" t="str">
        <f>[1]Contratos!J6</f>
        <v>MARIANA SARMIENTO</v>
      </c>
      <c r="X6" s="24" cm="1">
        <f t="array" ref="X6">IFERROR(VLOOKUP(W6,[1]COORD!$A$27:$B$67, 2, FALSE),[1]COORD!$B$27:$B$67)</f>
        <v>52862292</v>
      </c>
      <c r="Y6" s="25" t="s">
        <v>35</v>
      </c>
      <c r="Z6" s="26">
        <v>80111868</v>
      </c>
      <c r="AA6" s="27" t="str" cm="1">
        <f t="array" ref="AA6">IF(Y6&lt;&gt;"NIT","N/A",IF(OR(Z6="",Z6="N/A"),"N/A",IF(ISERROR(VALUE(IF(ISNUMBER(FIND("-",TEXT(Z6,"@"))),LEFT(TEXT(Z6,"@"),FIND("-",TEXT(Z6,"@"))-1),TEXT(Z6,"@")))),"N/A",IF(MOD(SUMPRODUCT(VALUE(MID(TEXT(VALUE(IF(ISNUMBER(FIND("-",TEXT(Z6,"@"))),LEFT(TEXT(Z6,"@"),FIND("-",TEXT(Z6,"@"))-1),TEXT(Z6,"@"))),"000000000000000"),{15,14,13,12,11,10,9,8,7,6,5,4,3,2,1},1)),{3,7,13,17,19,23,29,37,41,43,47,53,59,67,71}),11)=0,0,IF(MOD(SUMPRODUCT(VALUE(MID(TEXT(VALUE(IF(ISNUMBER(FIND("-",TEXT(Z6,"@"))),LEFT(TEXT(Z6,"@"),FIND("-",TEXT(Z6,"@"))-1),TEXT(Z6,"@"))),"000000000000000"),{15,14,13,12,11,10,9,8,7,6,5,4,3,2,1},1)),{3,7,13,17,19,23,29,37,41,43,47,53,59,67,71}),11)=1,1,11-MOD(SUMPRODUCT(VALUE(MID(TEXT(VALUE(IF(ISNUMBER(FIND("-",TEXT(Z6,"@"))),LEFT(TEXT(Z6,"@"),FIND("-",TEXT(Z6,"@"))-1),TEXT(Z6,"@"))),"000000000000000"),{15,14,13,12,11,10,9,8,7,6,5,4,3,2,1},1)),{3,7,13,17,19,23,29,37,41,43,47,53,59,67,71}),11))))))</f>
        <v>N/A</v>
      </c>
      <c r="AB6" s="27">
        <v>83121703</v>
      </c>
      <c r="AC6" s="29" t="str">
        <f>[1]Contratos!Z6</f>
        <v>NO</v>
      </c>
      <c r="AD6" s="30">
        <f t="shared" si="3"/>
        <v>351</v>
      </c>
      <c r="AE6" s="31" t="s">
        <v>37</v>
      </c>
      <c r="AF6" s="31" t="str" cm="1">
        <f t="array" ref="AF6">IF(AG6="","",IFERROR(_xlfn.LET(_xlpm.x,INDEX([1]RP!$Z$2:$Z$706,MATCH(AG6&amp;"",[1]RP!$A$2:$A$706&amp;"",0)),IF(_xlpm.x="","",_xlpm.x)),""))</f>
        <v>1126</v>
      </c>
      <c r="AG6" s="31" cm="1">
        <f t="array" ref="AG6">IF(A6="","",IFERROR(_xlfn.LET(_xlpm.rp,[1]RP!$A$2:$A$706,_xlpm.dt,IFERROR(DATE(--LEFT([1]RP!$B$2:$B$706,4),--MID([1]RP!$B$2:$B$706,6,2),--MID([1]RP!$B$2:$B$706,9,2)),0),_xlpm.qid,UPPER(SUBSTITUTE(SUBSTITUTE(SUBSTITUTE(SUBSTITUTE([1]RP!$Q$2:$Q$706,".",""),"-","")," ",""),"O","0")),_xlpm.eid,UPPER(SUBSTITUTE(SUBSTITUTE(SUBSTITUTE(SUBSTITUTE(Z6,".",""),"-","")," ",""),"O","0")),_xlpm.qnm,UPPER(SUBSTITUTE(SUBSTITUTE(SUBSTITUTE(SUBSTITUTE(SUBSTITUTE([1]RP!$R$2:$R$706,".",""),"-","")," ",""),"Á","A"),"É","E")),_xlpm.enm,UPPER(SUBSTITUTE(SUBSTITUTE(SUBSTITUTE(SUBSTITUTE(SUBSTITUTE(B6,".",""),"-",""),"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6,"CONTRATO ")," DE")&amp;"/2026",_xlpm.dm,--ISNUMBER(SEARCH(_xlpm.num,_xlpm.sup)),_xlpm.dif,IF(_xlpm.ok,(1-_xlpm.dm)*1000000+IF(AND(ISNUMBER(M6),M6&gt;0),ABS(_xlpm.dt-M6),0),1E+99),_xlpm.md,MIN(_xlpm.dif),INDEX(_xlfn._xlws.FILTER(_xlpm.rp,(_xlpm.ok&gt;0)*(_xlpm.dif=_xlpm.md)),1)),""))</f>
        <v>2426</v>
      </c>
      <c r="AH6" s="32" cm="1">
        <f t="array" ref="AH6">IF(AF6="","",IFERROR(_xlfn.LET(_xlpm.x,INDEX([1]CDP!$B$2:$B$322,MATCH(AF6&amp;"",[1]CDP!$A$2:$A$322&amp;"",0)),IF(ISNUMBER(_xlpm.x),_xlpm.x,DATE(--LEFT(_xlpm.x,4),--MID(_xlpm.x,6,2),--MID(_xlpm.x,9,2)))),""))</f>
        <v>46029</v>
      </c>
    </row>
    <row r="7" spans="1:34" ht="61.5" customHeight="1" x14ac:dyDescent="0.35">
      <c r="A7" s="1" t="str">
        <f>[1]Contratos!A7</f>
        <v>CONTRATO 06 DE 2026</v>
      </c>
      <c r="B7" s="10" t="str">
        <f>[1]Contratos!B7</f>
        <v>SERGIO ANDRÉS BOHÓRQUEZ PERDOMO</v>
      </c>
      <c r="C7" s="10" t="str">
        <f>[1]Contratos!E7</f>
        <v>Prestación de servicios profesionales o Apoyo a la gestión</v>
      </c>
      <c r="D7" s="10" t="s">
        <v>42</v>
      </c>
      <c r="E7" s="11" t="str">
        <f>[1]Contratos!F7</f>
        <v>Prestación de servicios profesionales orientados a brindar soporte técnico para el análisis de solicitudes y apoyar la planeación, atribución, asignación, recuperación, administración y gestión de los recursos de identificación a cargo de la Comisión de Regulación de Comunicaciones (CRC), en cumplimiento de las directrices establecidas en el Plan de Acción 2026.</v>
      </c>
      <c r="F7" s="12">
        <v>50222800</v>
      </c>
      <c r="G7" s="13">
        <f>[1]Contratos!G7</f>
        <v>50222800</v>
      </c>
      <c r="H7" s="14" t="str">
        <f>IFERROR(VLOOKUP(A7, [1]Otrosí!A:F, 6, FALSE), "0")</f>
        <v>0</v>
      </c>
      <c r="I7" s="13">
        <f t="shared" si="0"/>
        <v>50222800</v>
      </c>
      <c r="J7" s="15">
        <f>IFERROR(_xlfn.LET(_xlpm.x,_xlfn.LET(_xlpm.n,--_xlfn.TEXTBEFORE(_xlfn.TEXTAFTER(A7,"CONTRATO ")," DE"),_xlpm.c,"CONTRATO "&amp;TEXT(_xlpm.n,"00")&amp;" DE 2026",_xlpm.h,'[1]SECOP II'!$A$1:$CQ$1,_xlpm.d,'[1]SECOP II'!$A$2:$CQ$94,_xlpm.r,INDEX(_xlpm.d,0,MATCH("Referencia del Contrato",_xlpm.h,0)),INDEX(_xlpm.d,MATCH(_xlpm.c,_xlpm.r,0),MATCH("Valor Pagado",_xlpm.h,0))),_xlfn.NUMBERVALUE(SUBSTITUTE(_xlpm.x,"$",""),".",",")),"")</f>
        <v>37121200</v>
      </c>
      <c r="K7" s="16">
        <f t="shared" si="1"/>
        <v>13101600</v>
      </c>
      <c r="L7" s="17">
        <f t="shared" si="2"/>
        <v>0.73913043478260865</v>
      </c>
      <c r="M7" s="18">
        <f>[1]Contratos!O7</f>
        <v>46036</v>
      </c>
      <c r="N7" s="18">
        <f>[1]Contratos!P7</f>
        <v>46038</v>
      </c>
      <c r="O7" s="18">
        <f>[1]Contratos!Q7</f>
        <v>46387</v>
      </c>
      <c r="P7" s="18" t="str">
        <f>IFERROR(VLOOKUP(A7, [1]Otrosí!A:L, 7, FALSE), "N/A")</f>
        <v>N/A</v>
      </c>
      <c r="Q7" s="19" t="str">
        <f>IFERROR(_xlfn.LET(_xlpm.h,'[1]SECOP II'!$A$1:$CQ$1,_xlpm.d,'[1]SECOP II'!$A$2:$CQ$94,_xlpm.r,INDEX(_xlpm.d,0,MATCH("Referencia del Contrato",_xlpm.h,0)),INDEX(_xlpm.d,MATCH("CONTRATO 06 DE 2026",_xlpm.r,0),MATCH("Tipo de Contrato",_xlpm.h,0))),"")</f>
        <v>Prestación de servicios</v>
      </c>
      <c r="R7" s="20" t="str">
        <f>IFERROR(_xlfn.LET(_xlpm.n,--_xlfn.TEXTBEFORE(_xlfn.TEXTAFTER(A7,"CONTRATO ")," DE"),_xlpm.c,"CONTRATO "&amp;TEXT(_xlpm.n,"00")&amp;" DE 2026",_xlpm.h,'[1]SECOP II'!$A$1:$CQ$1,_xlpm.d,'[1]SECOP II'!$A$2:$CQ$94,_xlpm.r,INDEX(_xlpm.d,0,MATCH("Referencia del Contrato",_xlpm.h,0)),INDEX(_xlpm.d,MATCH(_xlpm.c,_xlpm.r,0),MATCH("Destino Gasto",_xlpm.h,0))),"")</f>
        <v>Inversión</v>
      </c>
      <c r="S7" s="21" t="str">
        <f>IFERROR(_xlfn.LET(_xlpm.n,--_xlfn.TEXTBEFORE(_xlfn.TEXTAFTER(A7,"CONTRATO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https://community.secop.gov.co/Public/Tendering/OpportunityDetail/Index?noticeUID=CO1.NTC.9487377&amp;isFromPublicArea=True&amp;isModal=true&amp;asPopupView=true</v>
      </c>
      <c r="T7" s="22" t="str">
        <f>IFERROR(_xlfn.LET(_xlpm.h,'[1]SECOP II'!$A$1:$CQ$1,_xlpm.d,'[1]SECOP II'!$A$2:$CQ$94,_xlpm.r,INDEX(_xlpm.d,0,MATCH("Referencia del Contrato",_xlpm.h,0)),INDEX(_xlpm.d,MATCH("CONTRATO 06 DE 2026",_xlpm.r,0),MATCH("Estado Contrato",_xlpm.h,0))),"")</f>
        <v>En ejecución</v>
      </c>
      <c r="U7" s="10" t="str">
        <f>[1]Contratos!C7</f>
        <v>PN</v>
      </c>
      <c r="V7" s="10" t="str">
        <f>[1]Contratos!I7</f>
        <v>RELACIONES CON GRUPOS DE VALOR</v>
      </c>
      <c r="W7" s="23" t="str">
        <f>[1]Contratos!J7</f>
        <v>MARIANA SARMIENTO</v>
      </c>
      <c r="X7" s="24" cm="1">
        <f t="array" ref="X7">IFERROR(VLOOKUP(W7,[1]COORD!$A$27:$B$67, 2, FALSE),[1]COORD!$B$27:$B$67)</f>
        <v>52862292</v>
      </c>
      <c r="Y7" s="25" t="s">
        <v>35</v>
      </c>
      <c r="Z7" s="26">
        <v>1019074760</v>
      </c>
      <c r="AA7" s="27" t="str" cm="1">
        <f t="array" ref="AA7">IF(Y7&lt;&gt;"NIT","N/A",IF(OR(Z7="",Z7="N/A"),"N/A",IF(ISERROR(VALUE(IF(ISNUMBER(FIND("-",TEXT(Z7,"@"))),LEFT(TEXT(Z7,"@"),FIND("-",TEXT(Z7,"@"))-1),TEXT(Z7,"@")))),"N/A",IF(MOD(SUMPRODUCT(VALUE(MID(TEXT(VALUE(IF(ISNUMBER(FIND("-",TEXT(Z7,"@"))),LEFT(TEXT(Z7,"@"),FIND("-",TEXT(Z7,"@"))-1),TEXT(Z7,"@"))),"000000000000000"),{15,14,13,12,11,10,9,8,7,6,5,4,3,2,1},1)),{3,7,13,17,19,23,29,37,41,43,47,53,59,67,71}),11)=0,0,IF(MOD(SUMPRODUCT(VALUE(MID(TEXT(VALUE(IF(ISNUMBER(FIND("-",TEXT(Z7,"@"))),LEFT(TEXT(Z7,"@"),FIND("-",TEXT(Z7,"@"))-1),TEXT(Z7,"@"))),"000000000000000"),{15,14,13,12,11,10,9,8,7,6,5,4,3,2,1},1)),{3,7,13,17,19,23,29,37,41,43,47,53,59,67,71}),11)=1,1,11-MOD(SUMPRODUCT(VALUE(MID(TEXT(VALUE(IF(ISNUMBER(FIND("-",TEXT(Z7,"@"))),LEFT(TEXT(Z7,"@"),FIND("-",TEXT(Z7,"@"))-1),TEXT(Z7,"@"))),"000000000000000"),{15,14,13,12,11,10,9,8,7,6,5,4,3,2,1},1)),{3,7,13,17,19,23,29,37,41,43,47,53,59,67,71}),11))))))</f>
        <v>N/A</v>
      </c>
      <c r="AB7" s="27">
        <v>81161700</v>
      </c>
      <c r="AC7" s="29" t="str">
        <f>[1]Contratos!Z7</f>
        <v>NO</v>
      </c>
      <c r="AD7" s="30">
        <f t="shared" si="3"/>
        <v>351</v>
      </c>
      <c r="AE7" s="31" t="s">
        <v>37</v>
      </c>
      <c r="AF7" s="31" t="str" cm="1">
        <f t="array" ref="AF7">IF(AG7="","",IFERROR(_xlfn.LET(_xlpm.x,INDEX([1]RP!$Z$2:$Z$706,MATCH(AG7&amp;"",[1]RP!$A$2:$A$706&amp;"",0)),IF(_xlpm.x="","",_xlpm.x)),""))</f>
        <v>1226</v>
      </c>
      <c r="AG7" s="31" cm="1">
        <f t="array" ref="AG7">IF(A7="","",IFERROR(_xlfn.LET(_xlpm.rp,[1]RP!$A$2:$A$706,_xlpm.dt,IFERROR(DATE(--LEFT([1]RP!$B$2:$B$706,4),--MID([1]RP!$B$2:$B$706,6,2),--MID([1]RP!$B$2:$B$706,9,2)),0),_xlpm.qid,UPPER(SUBSTITUTE(SUBSTITUTE(SUBSTITUTE(SUBSTITUTE([1]RP!$Q$2:$Q$706,".",""),"-","")," ",""),"O","0")),_xlpm.eid,UPPER(SUBSTITUTE(SUBSTITUTE(SUBSTITUTE(SUBSTITUTE(Z7,".",""),"-","")," ",""),"O","0")),_xlpm.qnm,UPPER(SUBSTITUTE(SUBSTITUTE(SUBSTITUTE(SUBSTITUTE(SUBSTITUTE([1]RP!$R$2:$R$706,".",""),"-","")," ",""),"Á","A"),"É","E")),_xlpm.enm,UPPER(SUBSTITUTE(SUBSTITUTE(SUBSTITUTE(SUBSTITUTE(SUBSTITUTE(B7,".",""),"-",""),"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7,"CONTRATO ")," DE")&amp;"/2026",_xlpm.dm,--ISNUMBER(SEARCH(_xlpm.num,_xlpm.sup)),_xlpm.dif,IF(_xlpm.ok,(1-_xlpm.dm)*1000000+IF(AND(ISNUMBER(M7),M7&gt;0),ABS(_xlpm.dt-M7),0),1E+99),_xlpm.md,MIN(_xlpm.dif),INDEX(_xlfn._xlws.FILTER(_xlpm.rp,(_xlpm.ok&gt;0)*(_xlpm.dif=_xlpm.md)),1)),""))</f>
        <v>2526</v>
      </c>
      <c r="AH7" s="32" cm="1">
        <f t="array" ref="AH7">IF(AF7="","",IFERROR(_xlfn.LET(_xlpm.x,INDEX([1]CDP!$B$2:$B$322,MATCH(AF7&amp;"",[1]CDP!$A$2:$A$322&amp;"",0)),IF(ISNUMBER(_xlpm.x),_xlpm.x,DATE(--LEFT(_xlpm.x,4),--MID(_xlpm.x,6,2),--MID(_xlpm.x,9,2)))),""))</f>
        <v>46029</v>
      </c>
    </row>
    <row r="8" spans="1:34" ht="61.5" customHeight="1" x14ac:dyDescent="0.35">
      <c r="A8" s="1" t="str">
        <f>[1]Contratos!A8</f>
        <v>CONTRATO 07 DE 2026</v>
      </c>
      <c r="B8" s="10" t="str">
        <f>[1]Contratos!B8</f>
        <v>DIEGO ALEJANDRO DURÁN ESPITIA</v>
      </c>
      <c r="C8" s="10" t="str">
        <f>[1]Contratos!E8</f>
        <v>Prestación de servicios profesionales o Apoyo a la gestión</v>
      </c>
      <c r="D8" s="10" t="s">
        <v>43</v>
      </c>
      <c r="E8" s="11" t="str">
        <f>[1]Contratos!F8</f>
        <v>Prestar apoyo profesional a la Coordinación de Relaciones con Grupos de Valor, orientado al fortalecimiento de la Estrategia de Servicio al Ciudadano, la racionalización de trámites y la mejora continua en la atención y satisfacción de los grupos de valor de la Comisión de Regulación de Comunicaciones –CRC–. Para ello, desarrollará actividades relacionadas con el seguimiento y gestión de solicitudes, consultas y trámites, el monitoreo de la operación del Centro de Contacto, la elaboración de planes de emisión de espacios institucionales, en concordancia con los procedimientos y lineamientos vigentes.</v>
      </c>
      <c r="F8" s="12">
        <v>70575592</v>
      </c>
      <c r="G8" s="13">
        <f>[1]Contratos!G8</f>
        <v>70575592</v>
      </c>
      <c r="H8" s="14" t="str">
        <f>IFERROR(VLOOKUP(A8, [1]Otrosí!A:F, 6, FALSE), "0")</f>
        <v>0</v>
      </c>
      <c r="I8" s="13">
        <f t="shared" si="0"/>
        <v>70575592</v>
      </c>
      <c r="J8" s="15">
        <f>IFERROR(_xlfn.LET(_xlpm.x,_xlfn.LET(_xlpm.n,--_xlfn.TEXTBEFORE(_xlfn.TEXTAFTER(A8,"CONTRATO ")," DE"),_xlpm.c,"CONTRATO "&amp;TEXT(_xlpm.n,"00")&amp;" DE 2026",_xlpm.h,'[1]SECOP II'!$A$1:$CQ$1,_xlpm.d,'[1]SECOP II'!$A$2:$CQ$94,_xlpm.r,INDEX(_xlpm.d,0,MATCH("Referencia del Contrato",_xlpm.h,0)),INDEX(_xlpm.d,MATCH(_xlpm.c,_xlpm.r,0),MATCH("Valor Pagado",_xlpm.h,0))),_xlfn.NUMBERVALUE(SUBSTITUTE(_xlpm.x,"$",""),".",",")),"")</f>
        <v>46027560</v>
      </c>
      <c r="K8" s="16">
        <f t="shared" si="1"/>
        <v>24548032</v>
      </c>
      <c r="L8" s="17">
        <f t="shared" si="2"/>
        <v>0.65217391304347827</v>
      </c>
      <c r="M8" s="18">
        <f>[1]Contratos!O8</f>
        <v>46036</v>
      </c>
      <c r="N8" s="18">
        <f>[1]Contratos!P8</f>
        <v>46038</v>
      </c>
      <c r="O8" s="18">
        <f>[1]Contratos!Q8</f>
        <v>46387</v>
      </c>
      <c r="P8" s="18" t="str">
        <f>IFERROR(VLOOKUP(A8, [1]Otrosí!A:L, 7, FALSE), "N/A")</f>
        <v>N/A</v>
      </c>
      <c r="Q8" s="19" t="str">
        <f>IFERROR(_xlfn.LET(_xlpm.h,'[1]SECOP II'!$A$1:$CQ$1,_xlpm.d,'[1]SECOP II'!$A$2:$CQ$94,_xlpm.r,INDEX(_xlpm.d,0,MATCH("Referencia del Contrato",_xlpm.h,0)),INDEX(_xlpm.d,MATCH("CONTRATO 07 DE 2026",_xlpm.r,0),MATCH("Tipo de Contrato",_xlpm.h,0))),"")</f>
        <v>Prestación de servicios</v>
      </c>
      <c r="R8" s="20" t="str">
        <f>IFERROR(_xlfn.LET(_xlpm.n,--_xlfn.TEXTBEFORE(_xlfn.TEXTAFTER(A8,"CONTRATO ")," DE"),_xlpm.c,"CONTRATO "&amp;TEXT(_xlpm.n,"00")&amp;" DE 2026",_xlpm.h,'[1]SECOP II'!$A$1:$CQ$1,_xlpm.d,'[1]SECOP II'!$A$2:$CQ$94,_xlpm.r,INDEX(_xlpm.d,0,MATCH("Referencia del Contrato",_xlpm.h,0)),INDEX(_xlpm.d,MATCH(_xlpm.c,_xlpm.r,0),MATCH("Destino Gasto",_xlpm.h,0))),"")</f>
        <v>Inversión</v>
      </c>
      <c r="S8" s="21" t="str">
        <f>IFERROR(_xlfn.LET(_xlpm.n,--_xlfn.TEXTBEFORE(_xlfn.TEXTAFTER(A8,"CONTRATO ")," DE"),_xlpm.c,"CONTRATO "&amp;TEXT(_xlpm.n,"00")&amp;" DE 2026",_xlpm.h,'[1]SECOP II'!$A$1:$CQ$1,_xlpm.d,'[1]SECOP II'!$A$2:$CQ$94,_xlpm.r,INDEX(_xlpm.d,0,MATCH("Referencia del Contrato",_xlpm.h,0)),INDEX(_xlpm.d,MATCH(_xlpm.c,_xlpm.r,0),MATCH("URLProceso",_xlpm.h,0))),"")</f>
        <v>https://community.secop.gov.co/Public/Tendering/OpportunityDetail/Index?noticeUID=CO1.NTC.9504962&amp;isFromPublicArea=True&amp;isModal=true&amp;asPopupView=true</v>
      </c>
      <c r="T8" s="22" t="str">
        <f>IFERROR(_xlfn.LET(_xlpm.h,'[1]SECOP II'!$A$1:$CQ$1,_xlpm.d,'[1]SECOP II'!$A$2:$CQ$94,_xlpm.r,INDEX(_xlpm.d,0,MATCH("Referencia del Contrato",_xlpm.h,0)),INDEX(_xlpm.d,MATCH("CONTRATO 07 DE 2026",_xlpm.r,0),MATCH("Estado Contrato",_xlpm.h,0))),"")</f>
        <v>En ejecución</v>
      </c>
      <c r="U8" s="10" t="str">
        <f>[1]Contratos!C8</f>
        <v>PN</v>
      </c>
      <c r="V8" s="10" t="str">
        <f>[1]Contratos!I8</f>
        <v>RELACIONES CON GRUPOS DE VALOR</v>
      </c>
      <c r="W8" s="23" t="str">
        <f>[1]Contratos!J8</f>
        <v>MARIANA SARMIENTO</v>
      </c>
      <c r="X8" s="24" cm="1">
        <f t="array" ref="X8">IFERROR(VLOOKUP(W8,[1]COORD!$A$27:$B$67, 2, FALSE),[1]COORD!$B$27:$B$67)</f>
        <v>52862292</v>
      </c>
      <c r="Y8" s="25" t="s">
        <v>35</v>
      </c>
      <c r="Z8" s="26">
        <v>1010024899</v>
      </c>
      <c r="AA8" s="27" t="str" cm="1">
        <f t="array" ref="AA8">IF(Y8&lt;&gt;"NIT","N/A",IF(OR(Z8="",Z8="N/A"),"N/A",IF(ISERROR(VALUE(IF(ISNUMBER(FIND("-",TEXT(Z8,"@"))),LEFT(TEXT(Z8,"@"),FIND("-",TEXT(Z8,"@"))-1),TEXT(Z8,"@")))),"N/A",IF(MOD(SUMPRODUCT(VALUE(MID(TEXT(VALUE(IF(ISNUMBER(FIND("-",TEXT(Z8,"@"))),LEFT(TEXT(Z8,"@"),FIND("-",TEXT(Z8,"@"))-1),TEXT(Z8,"@"))),"000000000000000"),{15,14,13,12,11,10,9,8,7,6,5,4,3,2,1},1)),{3,7,13,17,19,23,29,37,41,43,47,53,59,67,71}),11)=0,0,IF(MOD(SUMPRODUCT(VALUE(MID(TEXT(VALUE(IF(ISNUMBER(FIND("-",TEXT(Z8,"@"))),LEFT(TEXT(Z8,"@"),FIND("-",TEXT(Z8,"@"))-1),TEXT(Z8,"@"))),"000000000000000"),{15,14,13,12,11,10,9,8,7,6,5,4,3,2,1},1)),{3,7,13,17,19,23,29,37,41,43,47,53,59,67,71}),11)=1,1,11-MOD(SUMPRODUCT(VALUE(MID(TEXT(VALUE(IF(ISNUMBER(FIND("-",TEXT(Z8,"@"))),LEFT(TEXT(Z8,"@"),FIND("-",TEXT(Z8,"@"))-1),TEXT(Z8,"@"))),"000000000000000"),{15,14,13,12,11,10,9,8,7,6,5,4,3,2,1},1)),{3,7,13,17,19,23,29,37,41,43,47,53,59,67,71}),11))))))</f>
        <v>N/A</v>
      </c>
      <c r="AB8" s="27">
        <v>80161500</v>
      </c>
      <c r="AC8" s="29" t="str">
        <f>[1]Contratos!Z8</f>
        <v>SI</v>
      </c>
      <c r="AD8" s="30">
        <f t="shared" si="3"/>
        <v>351</v>
      </c>
      <c r="AE8" s="31" t="s">
        <v>37</v>
      </c>
      <c r="AF8" s="31" t="str" cm="1">
        <f t="array" ref="AF8">IF(AG8="","",IFERROR(_xlfn.LET(_xlpm.x,INDEX([1]RP!$Z$2:$Z$706,MATCH(AG8&amp;"",[1]RP!$A$2:$A$706&amp;"",0)),IF(_xlpm.x="","",_xlpm.x)),""))</f>
        <v>726</v>
      </c>
      <c r="AG8" s="31" cm="1">
        <f t="array" ref="AG8">IF(A8="","",IFERROR(_xlfn.LET(_xlpm.rp,[1]RP!$A$2:$A$706,_xlpm.dt,IFERROR(DATE(--LEFT([1]RP!$B$2:$B$706,4),--MID([1]RP!$B$2:$B$706,6,2),--MID([1]RP!$B$2:$B$706,9,2)),0),_xlpm.qid,UPPER(SUBSTITUTE(SUBSTITUTE(SUBSTITUTE(SUBSTITUTE([1]RP!$Q$2:$Q$706,".",""),"-","")," ",""),"O","0")),_xlpm.eid,UPPER(SUBSTITUTE(SUBSTITUTE(SUBSTITUTE(SUBSTITUTE(Z8,".",""),"-","")," ",""),"O","0")),_xlpm.qnm,UPPER(SUBSTITUTE(SUBSTITUTE(SUBSTITUTE(SUBSTITUTE(SUBSTITUTE([1]RP!$R$2:$R$706,".",""),"-","")," ",""),"Á","A"),"É","E")),_xlpm.enm,UPPER(SUBSTITUTE(SUBSTITUTE(SUBSTITUTE(SUBSTITUTE(SUBSTITUTE(B8,".",""),"-",""),"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8,"CONTRATO ")," DE")&amp;"/2026",_xlpm.dm,--ISNUMBER(SEARCH(_xlpm.num,_xlpm.sup)),_xlpm.dif,IF(_xlpm.ok,(1-_xlpm.dm)*1000000+IF(AND(ISNUMBER(M8),M8&gt;0),ABS(_xlpm.dt-M8),0),1E+99),_xlpm.md,MIN(_xlpm.dif),INDEX(_xlfn._xlws.FILTER(_xlpm.rp,(_xlpm.ok&gt;0)*(_xlpm.dif=_xlpm.md)),1)),""))</f>
        <v>3326</v>
      </c>
      <c r="AH8" s="32" cm="1">
        <f t="array" ref="AH8">IF(AF8="","",IFERROR(_xlfn.LET(_xlpm.x,INDEX([1]CDP!$B$2:$B$322,MATCH(AF8&amp;"",[1]CDP!$A$2:$A$322&amp;"",0)),IF(ISNUMBER(_xlpm.x),_xlpm.x,DATE(--LEFT(_xlpm.x,4),--MID(_xlpm.x,6,2),--MID(_xlpm.x,9,2)))),""))</f>
        <v>46029</v>
      </c>
    </row>
    <row r="9" spans="1:34" ht="61.5" customHeight="1" x14ac:dyDescent="0.35">
      <c r="A9" s="1" t="str">
        <f>[1]Contratos!A9</f>
        <v>CONTRATO 08 DE 2026</v>
      </c>
      <c r="B9" s="10" t="str">
        <f>[1]Contratos!B9</f>
        <v>JULIÁN DAVID ZULUAGA TORRES</v>
      </c>
      <c r="C9" s="10" t="str">
        <f>[1]Contratos!E9</f>
        <v>Prestación de servicios profesionales o Apoyo a la gestión</v>
      </c>
      <c r="D9" s="10" t="s">
        <v>44</v>
      </c>
      <c r="E9" s="11" t="str">
        <f>[1]Contratos!F9</f>
        <v>Prestar servicios profesionales especializados a la Comisión de Regulación de Comunicaciones (CRC) para la consolidación, fortalecimiento y gestión integral de la estrategia de cooperación nacional e internacional y de alianzas estratégicas, mediante la identificación, formulación, seguimiento y evaluación de iniciativas y proyectos de cooperación técnica, así como el acompañamiento en la gestión de relaciones institucionales y la preparación de información técnica que contribuya al posicionamiento de la CRC como referente regulatorio a nivel nacional e internacional.</v>
      </c>
      <c r="F9" s="12">
        <v>165830000</v>
      </c>
      <c r="G9" s="13">
        <f>[1]Contratos!G9</f>
        <v>165830000</v>
      </c>
      <c r="H9" s="14" t="str">
        <f>IFERROR(VLOOKUP(A9, [1]Otrosí!A:F, 6, FALSE), "0")</f>
        <v>0</v>
      </c>
      <c r="I9" s="13">
        <f t="shared" si="0"/>
        <v>165830000</v>
      </c>
      <c r="J9" s="15">
        <f>IFERROR(_xlfn.LET(_xlpm.x,_xlfn.LET(_xlpm.n,--_xlfn.TEXTBEFORE(_xlfn.TEXTAFTER(A9,"CONTRATO ")," DE"),_xlpm.c,"CONTRATO "&amp;TEXT(_xlpm.n,"00")&amp;" DE 2026",_xlpm.h,'[1]SECOP II'!$A$1:$CQ$1,_xlpm.d,'[1]SECOP II'!$A$2:$CQ$94,_xlpm.r,INDEX(_xlpm.d,0,MATCH("Referencia del Contrato",_xlpm.h,0)),INDEX(_xlpm.d,MATCH(_xlpm.c,_xlpm.r,0),MATCH("Valor Pagado",_xlpm.h,0))),_xlfn.NUMBERVALUE(SUBSTITUTE(_xlpm.x,"$",""),".",",")),"")</f>
        <v>122570000</v>
      </c>
      <c r="K9" s="16">
        <f t="shared" si="1"/>
        <v>43260000</v>
      </c>
      <c r="L9" s="17">
        <f t="shared" si="2"/>
        <v>0.73913043478260865</v>
      </c>
      <c r="M9" s="18">
        <f>[1]Contratos!O9</f>
        <v>46036</v>
      </c>
      <c r="N9" s="18">
        <f>[1]Contratos!P9</f>
        <v>46038</v>
      </c>
      <c r="O9" s="18">
        <f>[1]Contratos!Q9</f>
        <v>46387</v>
      </c>
      <c r="P9" s="18" t="str">
        <f>IFERROR(VLOOKUP(A9, [1]Otrosí!A:L, 7, FALSE), "N/A")</f>
        <v>N/A</v>
      </c>
      <c r="Q9" s="19" t="str">
        <f>IFERROR(_xlfn.LET(_xlpm.h,'[1]SECOP II'!$A$1:$CQ$1,_xlpm.d,'[1]SECOP II'!$A$2:$CQ$94,_xlpm.r,INDEX(_xlpm.d,0,MATCH("Referencia del Contrato",_xlpm.h,0)),INDEX(_xlpm.d,MATCH("CONTRATO 08 DE 2026",_xlpm.r,0),MATCH("Tipo de Contrato",_xlpm.h,0))),"")</f>
        <v>Prestación de servicios</v>
      </c>
      <c r="R9" s="20" t="str">
        <f>IFERROR(_xlfn.LET(_xlpm.n,--_xlfn.TEXTBEFORE(_xlfn.TEXTAFTER(A9,"CONTRATO ")," DE"),_xlpm.c,"CONTRATO "&amp;TEXT(_xlpm.n,"00")&amp;" DE 2026",_xlpm.h,'[1]SECOP II'!$A$1:$CQ$1,_xlpm.d,'[1]SECOP II'!$A$2:$CQ$94,_xlpm.r,INDEX(_xlpm.d,0,MATCH("Referencia del Contrato",_xlpm.h,0)),INDEX(_xlpm.d,MATCH(_xlpm.c,_xlpm.r,0),MATCH("Destino Gasto",_xlpm.h,0))),"")</f>
        <v>Inversión</v>
      </c>
      <c r="S9" s="21" t="str">
        <f>IFERROR(_xlfn.LET(_xlpm.n,--_xlfn.TEXTBEFORE(_xlfn.TEXTAFTER(A9,"CONTRATO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https://community.secop.gov.co/Public/Tendering/OpportunityDetail/Index?noticeUID=CO1.NTC.9488384&amp;isFromPublicArea=True&amp;isModal=true&amp;asPopupView=true</v>
      </c>
      <c r="T9" s="22" t="str">
        <f>IFERROR(_xlfn.LET(_xlpm.h,'[1]SECOP II'!$A$1:$CQ$1,_xlpm.d,'[1]SECOP II'!$A$2:$CQ$94,_xlpm.r,INDEX(_xlpm.d,0,MATCH("Referencia del Contrato",_xlpm.h,0)),INDEX(_xlpm.d,MATCH("CONTRATO 08 DE 2026",_xlpm.r,0),MATCH("Estado Contrato",_xlpm.h,0))),"")</f>
        <v>En ejecución</v>
      </c>
      <c r="U9" s="10" t="str">
        <f>[1]Contratos!C9</f>
        <v>PN</v>
      </c>
      <c r="V9" s="10" t="str">
        <f>[1]Contratos!I9</f>
        <v>RELACIONES CON GRUPOS DE VALOR</v>
      </c>
      <c r="W9" s="23" t="str">
        <f>[1]Contratos!J9</f>
        <v>MARIANA SARMIENTO</v>
      </c>
      <c r="X9" s="24" cm="1">
        <f t="array" ref="X9">IFERROR(VLOOKUP(W9,[1]COORD!$A$27:$B$67, 2, FALSE),[1]COORD!$B$27:$B$67)</f>
        <v>52862292</v>
      </c>
      <c r="Y9" s="25" t="s">
        <v>35</v>
      </c>
      <c r="Z9" s="26">
        <v>1032359364</v>
      </c>
      <c r="AA9" s="27" t="str" cm="1">
        <f t="array" ref="AA9">IF(Y9&lt;&gt;"NIT","N/A",IF(OR(Z9="",Z9="N/A"),"N/A",IF(ISERROR(VALUE(IF(ISNUMBER(FIND("-",TEXT(Z9,"@"))),LEFT(TEXT(Z9,"@"),FIND("-",TEXT(Z9,"@"))-1),TEXT(Z9,"@")))),"N/A",IF(MOD(SUMPRODUCT(VALUE(MID(TEXT(VALUE(IF(ISNUMBER(FIND("-",TEXT(Z9,"@"))),LEFT(TEXT(Z9,"@"),FIND("-",TEXT(Z9,"@"))-1),TEXT(Z9,"@"))),"000000000000000"),{15,14,13,12,11,10,9,8,7,6,5,4,3,2,1},1)),{3,7,13,17,19,23,29,37,41,43,47,53,59,67,71}),11)=0,0,IF(MOD(SUMPRODUCT(VALUE(MID(TEXT(VALUE(IF(ISNUMBER(FIND("-",TEXT(Z9,"@"))),LEFT(TEXT(Z9,"@"),FIND("-",TEXT(Z9,"@"))-1),TEXT(Z9,"@"))),"000000000000000"),{15,14,13,12,11,10,9,8,7,6,5,4,3,2,1},1)),{3,7,13,17,19,23,29,37,41,43,47,53,59,67,71}),11)=1,1,11-MOD(SUMPRODUCT(VALUE(MID(TEXT(VALUE(IF(ISNUMBER(FIND("-",TEXT(Z9,"@"))),LEFT(TEXT(Z9,"@"),FIND("-",TEXT(Z9,"@"))-1),TEXT(Z9,"@"))),"000000000000000"),{15,14,13,12,11,10,9,8,7,6,5,4,3,2,1},1)),{3,7,13,17,19,23,29,37,41,43,47,53,59,67,71}),11))))))</f>
        <v>N/A</v>
      </c>
      <c r="AB9" s="27">
        <v>80101505</v>
      </c>
      <c r="AC9" s="29" t="str">
        <f>[1]Contratos!Z9</f>
        <v>NO</v>
      </c>
      <c r="AD9" s="30">
        <f t="shared" si="3"/>
        <v>351</v>
      </c>
      <c r="AE9" s="31" t="s">
        <v>37</v>
      </c>
      <c r="AF9" s="31" t="str" cm="1">
        <f t="array" ref="AF9">IF(AG9="","",IFERROR(_xlfn.LET(_xlpm.x,INDEX([1]RP!$Z$2:$Z$706,MATCH(AG9&amp;"",[1]RP!$A$2:$A$706&amp;"",0)),IF(_xlpm.x="","",_xlpm.x)),""))</f>
        <v>3526</v>
      </c>
      <c r="AG9" s="31" cm="1">
        <f t="array" ref="AG9">IF(A9="","",IFERROR(_xlfn.LET(_xlpm.rp,[1]RP!$A$2:$A$706,_xlpm.dt,IFERROR(DATE(--LEFT([1]RP!$B$2:$B$706,4),--MID([1]RP!$B$2:$B$706,6,2),--MID([1]RP!$B$2:$B$706,9,2)),0),_xlpm.qid,UPPER(SUBSTITUTE(SUBSTITUTE(SUBSTITUTE(SUBSTITUTE([1]RP!$Q$2:$Q$706,".",""),"-","")," ",""),"O","0")),_xlpm.eid,UPPER(SUBSTITUTE(SUBSTITUTE(SUBSTITUTE(SUBSTITUTE(Z9,".",""),"-","")," ",""),"O","0")),_xlpm.qnm,UPPER(SUBSTITUTE(SUBSTITUTE(SUBSTITUTE(SUBSTITUTE(SUBSTITUTE([1]RP!$R$2:$R$706,".",""),"-","")," ",""),"Á","A"),"É","E")),_xlpm.enm,UPPER(SUBSTITUTE(SUBSTITUTE(SUBSTITUTE(SUBSTITUTE(SUBSTITUTE(B9,".",""),"-",""),"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9,"CONTRATO ")," DE")&amp;"/2026",_xlpm.dm,--ISNUMBER(SEARCH(_xlpm.num,_xlpm.sup)),_xlpm.dif,IF(_xlpm.ok,(1-_xlpm.dm)*1000000+IF(AND(ISNUMBER(M9),M9&gt;0),ABS(_xlpm.dt-M9),0),1E+99),_xlpm.md,MIN(_xlpm.dif),INDEX(_xlfn._xlws.FILTER(_xlpm.rp,(_xlpm.ok&gt;0)*(_xlpm.dif=_xlpm.md)),1)),""))</f>
        <v>2626</v>
      </c>
      <c r="AH9" s="32" cm="1">
        <f t="array" ref="AH9">IF(AF9="","",IFERROR(_xlfn.LET(_xlpm.x,INDEX([1]CDP!$B$2:$B$322,MATCH(AF9&amp;"",[1]CDP!$A$2:$A$322&amp;"",0)),IF(ISNUMBER(_xlpm.x),_xlpm.x,DATE(--LEFT(_xlpm.x,4),--MID(_xlpm.x,6,2),--MID(_xlpm.x,9,2)))),""))</f>
        <v>46030</v>
      </c>
    </row>
    <row r="10" spans="1:34" ht="61.5" customHeight="1" x14ac:dyDescent="0.35">
      <c r="A10" s="1" t="str">
        <f>[1]Contratos!A10</f>
        <v>CONTRATO 09 DE 2026</v>
      </c>
      <c r="B10" s="10" t="str">
        <f>[1]Contratos!B10</f>
        <v>KAREM JULIETH MOLINA SANTANA</v>
      </c>
      <c r="C10" s="10" t="str">
        <f>[1]Contratos!E10</f>
        <v>Prestación de servicios profesionales o Apoyo a la gestión</v>
      </c>
      <c r="D10" s="10" t="s">
        <v>45</v>
      </c>
      <c r="E10" s="11" t="str">
        <f>[1]Contratos!F10</f>
        <v>Prestar apoyo técnico a la Coordinación de Gestión Administrativa y Financiera en el desarrollo de actividades operativas y administrativas, incluyendo la atención en la recepción institucional, la canalización de correspondencia y el soporte en procesos internos de Gestión Ambiental, bienes y servicios, ejecutadas de manera autónoma, sin subordinación ni vínculo laboral con la entidad</v>
      </c>
      <c r="F10" s="12">
        <v>44132375</v>
      </c>
      <c r="G10" s="13">
        <f>[1]Contratos!G10</f>
        <v>44132375</v>
      </c>
      <c r="H10" s="14" t="str">
        <f>IFERROR(VLOOKUP(A10, [1]Otrosí!A:F, 6, FALSE), "0")</f>
        <v>0</v>
      </c>
      <c r="I10" s="13">
        <f t="shared" si="0"/>
        <v>44132375</v>
      </c>
      <c r="J10" s="15">
        <f>IFERROR(_xlfn.LET(_xlpm.x,_xlfn.LET(_xlpm.n,--_xlfn.TEXTBEFORE(_xlfn.TEXTAFTER(A10,"CONTRATO ")," DE"),_xlpm.c,"CONTRATO "&amp;TEXT(_xlpm.n,"00")&amp;" DE 2026",_xlpm.h,'[1]SECOP II'!$A$1:$CQ$1,_xlpm.d,'[1]SECOP II'!$A$2:$CQ$94,_xlpm.r,INDEX(_xlpm.d,0,MATCH("Referencia del Contrato",_xlpm.h,0)),INDEX(_xlpm.d,MATCH(_xlpm.c,_xlpm.r,0),MATCH("Valor Pagado",_xlpm.h,0))),_xlfn.NUMBERVALUE(SUBSTITUTE(_xlpm.x,"$",""),".",",")),"")</f>
        <v>32405772</v>
      </c>
      <c r="K10" s="16">
        <f t="shared" si="1"/>
        <v>11726603</v>
      </c>
      <c r="L10" s="17">
        <f t="shared" si="2"/>
        <v>0.73428570295616313</v>
      </c>
      <c r="M10" s="18">
        <f>[1]Contratos!O10</f>
        <v>46030</v>
      </c>
      <c r="N10" s="18">
        <f>[1]Contratos!P10</f>
        <v>46036</v>
      </c>
      <c r="O10" s="18">
        <f>[1]Contratos!Q10</f>
        <v>46387</v>
      </c>
      <c r="P10" s="18" t="str">
        <f>IFERROR(VLOOKUP(A10, [1]Otrosí!A:L, 7, FALSE), "N/A")</f>
        <v>N/A</v>
      </c>
      <c r="Q10" s="19" t="str">
        <f>IFERROR(_xlfn.LET(_xlpm.h,'[1]SECOP II'!$A$1:$CQ$1,_xlpm.d,'[1]SECOP II'!$A$2:$CQ$94,_xlpm.r,INDEX(_xlpm.d,0,MATCH("Referencia del Contrato",_xlpm.h,0)),INDEX(_xlpm.d,MATCH("CONTRATO 09 DE 2026",_xlpm.r,0),MATCH("Tipo de Contrato",_xlpm.h,0))),"")</f>
        <v>Prestación de servicios</v>
      </c>
      <c r="R10" s="20" t="str">
        <f>IFERROR(_xlfn.LET(_xlpm.n,--_xlfn.TEXTBEFORE(_xlfn.TEXTAFTER(A10,"CONTRATO ")," DE"),_xlpm.c,"CONTRATO "&amp;TEXT(_xlpm.n,"00")&amp;" DE 2026",_xlpm.h,'[1]SECOP II'!$A$1:$CQ$1,_xlpm.d,'[1]SECOP II'!$A$2:$CQ$94,_xlpm.r,INDEX(_xlpm.d,0,MATCH("Referencia del Contrato",_xlpm.h,0)),INDEX(_xlpm.d,MATCH(_xlpm.c,_xlpm.r,0),MATCH("Destino Gasto",_xlpm.h,0))),"")</f>
        <v>Funcionamiento</v>
      </c>
      <c r="S10" s="21" t="str">
        <f>IFERROR(_xlfn.LET(_xlpm.n,--_xlfn.TEXTBEFORE(_xlfn.TEXTAFTER(A10,"CONTRATO ")," DE"),_xlpm.c,"CONTRATO "&amp;TEXT(_xlpm.n,"00")&amp;" DE 2026",_xlpm.h,'[1]SECOP II'!$A$1:$CQ$1,_xlpm.d,'[1]SECOP II'!$A$2:$CQ$94,_xlpm.r,INDEX(_xlpm.d,0,MATCH("Referencia del Contrato",_xlpm.h,0)),INDEX(_xlpm.d,MATCH(_xlpm.c,_xlpm.r,0),MATCH("URLProceso",_xlpm.h,0))),"")</f>
        <v>https://community.secop.gov.co/Public/Tendering/OpportunityDetail/Index?noticeUID=CO1.NTC.9415528&amp;isFromPublicArea=True&amp;isModal=true&amp;asPopupView=true</v>
      </c>
      <c r="T10" s="22" t="str">
        <f>IFERROR(_xlfn.LET(_xlpm.h,'[1]SECOP II'!$A$1:$CQ$1,_xlpm.d,'[1]SECOP II'!$A$2:$CQ$94,_xlpm.r,INDEX(_xlpm.d,0,MATCH("Referencia del Contrato",_xlpm.h,0)),INDEX(_xlpm.d,MATCH("CONTRATO 09 DE 2026",_xlpm.r,0),MATCH("Estado Contrato",_xlpm.h,0))),"")</f>
        <v>En ejecución</v>
      </c>
      <c r="U10" s="10" t="str">
        <f>[1]Contratos!C10</f>
        <v>PN</v>
      </c>
      <c r="V10" s="10" t="str">
        <f>[1]Contratos!I10</f>
        <v>GESTIÓN ADM. Y FIN</v>
      </c>
      <c r="W10" s="23" t="str">
        <f>[1]Contratos!J10</f>
        <v>DIANA WILCHES</v>
      </c>
      <c r="X10" s="24" cm="1">
        <f t="array" ref="X10">IFERROR(VLOOKUP(W10,[1]COORD!$A$27:$B$67, 2, FALSE),[1]COORD!$B$27:$B$67)</f>
        <v>40049758</v>
      </c>
      <c r="Y10" s="25" t="s">
        <v>35</v>
      </c>
      <c r="Z10" s="26">
        <v>1014180931</v>
      </c>
      <c r="AA10" s="27" t="str" cm="1">
        <f t="array" ref="AA10">IF(Y10&lt;&gt;"NIT","N/A",IF(OR(Z10="",Z10="N/A"),"N/A",IF(ISERROR(VALUE(IF(ISNUMBER(FIND("-",TEXT(Z10,"@"))),LEFT(TEXT(Z10,"@"),FIND("-",TEXT(Z10,"@"))-1),TEXT(Z10,"@")))),"N/A",IF(MOD(SUMPRODUCT(VALUE(MID(TEXT(VALUE(IF(ISNUMBER(FIND("-",TEXT(Z10,"@"))),LEFT(TEXT(Z10,"@"),FIND("-",TEXT(Z10,"@"))-1),TEXT(Z10,"@"))),"000000000000000"),{15,14,13,12,11,10,9,8,7,6,5,4,3,2,1},1)),{3,7,13,17,19,23,29,37,41,43,47,53,59,67,71}),11)=0,0,IF(MOD(SUMPRODUCT(VALUE(MID(TEXT(VALUE(IF(ISNUMBER(FIND("-",TEXT(Z10,"@"))),LEFT(TEXT(Z10,"@"),FIND("-",TEXT(Z10,"@"))-1),TEXT(Z10,"@"))),"000000000000000"),{15,14,13,12,11,10,9,8,7,6,5,4,3,2,1},1)),{3,7,13,17,19,23,29,37,41,43,47,53,59,67,71}),11)=1,1,11-MOD(SUMPRODUCT(VALUE(MID(TEXT(VALUE(IF(ISNUMBER(FIND("-",TEXT(Z10,"@"))),LEFT(TEXT(Z10,"@"),FIND("-",TEXT(Z10,"@"))-1),TEXT(Z10,"@"))),"000000000000000"),{15,14,13,12,11,10,9,8,7,6,5,4,3,2,1},1)),{3,7,13,17,19,23,29,37,41,43,47,53,59,67,71}),11))))))</f>
        <v>N/A</v>
      </c>
      <c r="AB10" s="27">
        <v>80111601</v>
      </c>
      <c r="AC10" s="29" t="str">
        <f>[1]Contratos!Z10</f>
        <v>N/A</v>
      </c>
      <c r="AD10" s="30">
        <f t="shared" si="3"/>
        <v>357</v>
      </c>
      <c r="AE10" s="31" t="s">
        <v>46</v>
      </c>
      <c r="AF10" s="31" t="str" cm="1">
        <f t="array" ref="AF10">IF(AG10="","",IFERROR(_xlfn.LET(_xlpm.x,INDEX([1]RP!$Z$2:$Z$706,MATCH(AG10&amp;"",[1]RP!$A$2:$A$706&amp;"",0)),IF(_xlpm.x="","",_xlpm.x)),""))</f>
        <v>1626</v>
      </c>
      <c r="AG10" s="31" cm="1">
        <f t="array" ref="AG10">IF(A10="","",IFERROR(_xlfn.LET(_xlpm.rp,[1]RP!$A$2:$A$706,_xlpm.dt,IFERROR(DATE(--LEFT([1]RP!$B$2:$B$706,4),--MID([1]RP!$B$2:$B$706,6,2),--MID([1]RP!$B$2:$B$706,9,2)),0),_xlpm.qid,UPPER(SUBSTITUTE(SUBSTITUTE(SUBSTITUTE(SUBSTITUTE([1]RP!$Q$2:$Q$706,".",""),"-","")," ",""),"O","0")),_xlpm.eid,UPPER(SUBSTITUTE(SUBSTITUTE(SUBSTITUTE(SUBSTITUTE(Z10,".",""),"-","")," ",""),"O","0")),_xlpm.qnm,UPPER(SUBSTITUTE(SUBSTITUTE(SUBSTITUTE(SUBSTITUTE(SUBSTITUTE([1]RP!$R$2:$R$706,".",""),"-","")," ",""),"Á","A"),"É","E")),_xlpm.enm,UPPER(SUBSTITUTE(SUBSTITUTE(SUBSTITUTE(SUBSTITUTE(SUBSTITUTE(B10,".",""),"-",""),"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10,"CONTRATO ")," DE")&amp;"/2026",_xlpm.dm,--ISNUMBER(SEARCH(_xlpm.num,_xlpm.sup)),_xlpm.dif,IF(_xlpm.ok,(1-_xlpm.dm)*1000000+IF(AND(ISNUMBER(M10),M10&gt;0),ABS(_xlpm.dt-M10),0),1E+99),_xlpm.md,MIN(_xlpm.dif),INDEX(_xlfn._xlws.FILTER(_xlpm.rp,(_xlpm.ok&gt;0)*(_xlpm.dif=_xlpm.md)),1)),""))</f>
        <v>1626</v>
      </c>
      <c r="AH10" s="32" cm="1">
        <f t="array" ref="AH10">IF(AF10="","",IFERROR(_xlfn.LET(_xlpm.x,INDEX([1]CDP!$B$2:$B$322,MATCH(AF10&amp;"",[1]CDP!$A$2:$A$322&amp;"",0)),IF(ISNUMBER(_xlpm.x),_xlpm.x,DATE(--LEFT(_xlpm.x,4),--MID(_xlpm.x,6,2),--MID(_xlpm.x,9,2)))),""))</f>
        <v>46029</v>
      </c>
    </row>
    <row r="11" spans="1:34" ht="61.5" customHeight="1" x14ac:dyDescent="0.35">
      <c r="A11" s="1" t="str">
        <f>[1]Contratos!A11</f>
        <v>CONTRATO 10 DE 2026</v>
      </c>
      <c r="B11" s="10" t="str">
        <f>[1]Contratos!B11</f>
        <v>CAROLINA GONZALEZ</v>
      </c>
      <c r="C11" s="10" t="str">
        <f>[1]Contratos!E11</f>
        <v>Prestación de servicios profesionales o Apoyo a la gestión</v>
      </c>
      <c r="D11" s="10" t="s">
        <v>47</v>
      </c>
      <c r="E11" s="11" t="str">
        <f>[1]Contratos!F11</f>
        <v>Prestar apoyo técnico a la Coordinación de Gestión Administrativa y Financiera en el desarrollo de actividades operativas y administrativas, incluyendo la atención en la recepción institucional, la canalización de correspondencia y el soporte en procesos internos de Talento Humano. ejecutadas de manera autónoma, sin subordinación ni vínculo laboral con la entidad.</v>
      </c>
      <c r="F11" s="12">
        <v>44132375</v>
      </c>
      <c r="G11" s="13">
        <f>[1]Contratos!G11</f>
        <v>44132375</v>
      </c>
      <c r="H11" s="14" t="str">
        <f>IFERROR(VLOOKUP(A11, [1]Otrosí!A:F, 6, FALSE), "0")</f>
        <v>0</v>
      </c>
      <c r="I11" s="13">
        <f t="shared" si="0"/>
        <v>44132375</v>
      </c>
      <c r="J11" s="15">
        <f>IFERROR(_xlfn.LET(_xlpm.x,_xlfn.LET(_xlpm.n,--_xlfn.TEXTBEFORE(_xlfn.TEXTAFTER(A11,"CONTRATO ")," DE"),_xlpm.c,"CONTRATO "&amp;TEXT(_xlpm.n,"00")&amp;" DE 2026",_xlpm.h,'[1]SECOP II'!$A$1:$CQ$1,_xlpm.d,'[1]SECOP II'!$A$2:$CQ$94,_xlpm.r,INDEX(_xlpm.d,0,MATCH("Referencia del Contrato",_xlpm.h,0)),INDEX(_xlpm.d,MATCH(_xlpm.c,_xlpm.r,0),MATCH("Valor Pagado",_xlpm.h,0))),_xlfn.NUMBERVALUE(SUBSTITUTE(_xlpm.x,"$",""),".",",")),"")</f>
        <v>32531865</v>
      </c>
      <c r="K11" s="16">
        <f t="shared" si="1"/>
        <v>11600510</v>
      </c>
      <c r="L11" s="17">
        <f t="shared" si="2"/>
        <v>0.7371428571428571</v>
      </c>
      <c r="M11" s="18">
        <f>[1]Contratos!O11</f>
        <v>46030</v>
      </c>
      <c r="N11" s="18">
        <f>[1]Contratos!P11</f>
        <v>46035</v>
      </c>
      <c r="O11" s="18">
        <f>[1]Contratos!Q11</f>
        <v>46387</v>
      </c>
      <c r="P11" s="18" t="str">
        <f>IFERROR(VLOOKUP(A11, [1]Otrosí!A:L, 7, FALSE), "N/A")</f>
        <v>N/A</v>
      </c>
      <c r="Q11" s="19" t="str">
        <f>IFERROR(_xlfn.LET(_xlpm.h,'[1]SECOP II'!$A$1:$CQ$1,_xlpm.d,'[1]SECOP II'!$A$2:$CQ$94,_xlpm.r,INDEX(_xlpm.d,0,MATCH("Referencia del Contrato",_xlpm.h,0)),INDEX(_xlpm.d,MATCH("CONTRATO 10 DE 2026",_xlpm.r,0),MATCH("Tipo de Contrato",_xlpm.h,0))),"")</f>
        <v>Prestación de servicios</v>
      </c>
      <c r="R11" s="20" t="str">
        <f>IFERROR(_xlfn.LET(_xlpm.n,--_xlfn.TEXTBEFORE(_xlfn.TEXTAFTER(A11,"CONTRATO ")," DE"),_xlpm.c,"CONTRATO "&amp;TEXT(_xlpm.n,"00")&amp;" DE 2026",_xlpm.h,'[1]SECOP II'!$A$1:$CQ$1,_xlpm.d,'[1]SECOP II'!$A$2:$CQ$94,_xlpm.r,INDEX(_xlpm.d,0,MATCH("Referencia del Contrato",_xlpm.h,0)),INDEX(_xlpm.d,MATCH(_xlpm.c,_xlpm.r,0),MATCH("Destino Gasto",_xlpm.h,0))),"")</f>
        <v>Funcionamiento</v>
      </c>
      <c r="S11" s="34" t="str">
        <f>IFERROR(_xlfn.LET(_xlpm.n,--_xlfn.TEXTBEFORE(_xlfn.TEXTAFTER(A11,"CONTRATO ")," DE"),_xlpm.c,"CONTRATO "&amp;TEXT(_xlpm.n,"00")&amp;" DE 2026",_xlpm.h,'[1]SECOP II'!$A$1:$CQ$1,_xlpm.d,'[1]SECOP II'!$A$2:$CQ$94,_xlpm.r,INDEX(_xlpm.d,0,MATCH("Referencia del Contrato",_xlpm.h,0)),INDEX(_xlpm.d,MATCH(_xlpm.c,_xlpm.r,0),MATCH("URLProceso",_xlpm.h,0))),"")</f>
        <v>https://community.secop.gov.co/Public/Tendering/OpportunityDetail/Index?noticeUID=CO1.NTC.9415572&amp;isFromPublicArea=True&amp;isModal=true&amp;asPopupView=true</v>
      </c>
      <c r="T11" s="22" t="str">
        <f>IFERROR(_xlfn.LET(_xlpm.h,'[1]SECOP II'!$A$1:$CQ$1,_xlpm.d,'[1]SECOP II'!$A$2:$CQ$94,_xlpm.r,INDEX(_xlpm.d,0,MATCH("Referencia del Contrato",_xlpm.h,0)),INDEX(_xlpm.d,MATCH("CONTRATO 10 DE 2026",_xlpm.r,0),MATCH("Estado Contrato",_xlpm.h,0))),"")</f>
        <v>En ejecución</v>
      </c>
      <c r="U11" s="10" t="str">
        <f>[1]Contratos!C11</f>
        <v>PN</v>
      </c>
      <c r="V11" s="10" t="str">
        <f>[1]Contratos!I11</f>
        <v>GESTIÓN ADM. Y FIN</v>
      </c>
      <c r="W11" s="23" t="str">
        <f>[1]Contratos!J11</f>
        <v>DIANA WILCHES</v>
      </c>
      <c r="X11" s="24" cm="1">
        <f t="array" ref="X11">IFERROR(VLOOKUP(W11,[1]COORD!$A$27:$B$67, 2, FALSE),[1]COORD!$B$27:$B$67)</f>
        <v>40049758</v>
      </c>
      <c r="Y11" s="25" t="s">
        <v>35</v>
      </c>
      <c r="Z11" s="26">
        <v>52250896</v>
      </c>
      <c r="AA11" s="27" t="str" cm="1">
        <f t="array" ref="AA11">IF(Y11&lt;&gt;"NIT","N/A",IF(OR(Z11="",Z11="N/A"),"N/A",IF(ISERROR(VALUE(IF(ISNUMBER(FIND("-",TEXT(Z11,"@"))),LEFT(TEXT(Z11,"@"),FIND("-",TEXT(Z11,"@"))-1),TEXT(Z11,"@")))),"N/A",IF(MOD(SUMPRODUCT(VALUE(MID(TEXT(VALUE(IF(ISNUMBER(FIND("-",TEXT(Z11,"@"))),LEFT(TEXT(Z11,"@"),FIND("-",TEXT(Z11,"@"))-1),TEXT(Z11,"@"))),"000000000000000"),{15,14,13,12,11,10,9,8,7,6,5,4,3,2,1},1)),{3,7,13,17,19,23,29,37,41,43,47,53,59,67,71}),11)=0,0,IF(MOD(SUMPRODUCT(VALUE(MID(TEXT(VALUE(IF(ISNUMBER(FIND("-",TEXT(Z11,"@"))),LEFT(TEXT(Z11,"@"),FIND("-",TEXT(Z11,"@"))-1),TEXT(Z11,"@"))),"000000000000000"),{15,14,13,12,11,10,9,8,7,6,5,4,3,2,1},1)),{3,7,13,17,19,23,29,37,41,43,47,53,59,67,71}),11)=1,1,11-MOD(SUMPRODUCT(VALUE(MID(TEXT(VALUE(IF(ISNUMBER(FIND("-",TEXT(Z11,"@"))),LEFT(TEXT(Z11,"@"),FIND("-",TEXT(Z11,"@"))-1),TEXT(Z11,"@"))),"000000000000000"),{15,14,13,12,11,10,9,8,7,6,5,4,3,2,1},1)),{3,7,13,17,19,23,29,37,41,43,47,53,59,67,71}),11))))))</f>
        <v>N/A</v>
      </c>
      <c r="AB11" s="27">
        <v>80111601</v>
      </c>
      <c r="AC11" s="29" t="str">
        <f>[1]Contratos!Z11</f>
        <v>NO</v>
      </c>
      <c r="AD11" s="30">
        <f t="shared" si="3"/>
        <v>357</v>
      </c>
      <c r="AE11" s="31" t="s">
        <v>46</v>
      </c>
      <c r="AF11" s="31" t="str" cm="1">
        <f t="array" ref="AF11">IF(AG11="","",IFERROR(_xlfn.LET(_xlpm.x,INDEX([1]RP!$Z$2:$Z$706,MATCH(AG11&amp;"",[1]RP!$A$2:$A$706&amp;"",0)),IF(_xlpm.x="","",_xlpm.x)),""))</f>
        <v>1526</v>
      </c>
      <c r="AG11" s="31" cm="1">
        <f t="array" ref="AG11">IF(A11="","",IFERROR(_xlfn.LET(_xlpm.rp,[1]RP!$A$2:$A$706,_xlpm.dt,IFERROR(DATE(--LEFT([1]RP!$B$2:$B$706,4),--MID([1]RP!$B$2:$B$706,6,2),--MID([1]RP!$B$2:$B$706,9,2)),0),_xlpm.qid,UPPER(SUBSTITUTE(SUBSTITUTE(SUBSTITUTE(SUBSTITUTE([1]RP!$Q$2:$Q$706,".",""),"-","")," ",""),"O","0")),_xlpm.eid,UPPER(SUBSTITUTE(SUBSTITUTE(SUBSTITUTE(SUBSTITUTE(Z11,".",""),"-","")," ",""),"O","0")),_xlpm.qnm,UPPER(SUBSTITUTE(SUBSTITUTE(SUBSTITUTE(SUBSTITUTE(SUBSTITUTE([1]RP!$R$2:$R$706,".",""),"-","")," ",""),"Á","A"),"É","E")),_xlpm.enm,UPPER(SUBSTITUTE(SUBSTITUTE(SUBSTITUTE(SUBSTITUTE(SUBSTITUTE(B11,".",""),"-",""),"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11,"CONTRATO ")," DE")&amp;"/2026",_xlpm.dm,--ISNUMBER(SEARCH(_xlpm.num,_xlpm.sup)),_xlpm.dif,IF(_xlpm.ok,(1-_xlpm.dm)*1000000+IF(AND(ISNUMBER(M11),M11&gt;0),ABS(_xlpm.dt-M11),0),1E+99),_xlpm.md,MIN(_xlpm.dif),INDEX(_xlfn._xlws.FILTER(_xlpm.rp,(_xlpm.ok&gt;0)*(_xlpm.dif=_xlpm.md)),1)),""))</f>
        <v>1726</v>
      </c>
      <c r="AH11" s="32" cm="1">
        <f t="array" ref="AH11">IF(AF11="","",IFERROR(_xlfn.LET(_xlpm.x,INDEX([1]CDP!$B$2:$B$322,MATCH(AF11&amp;"",[1]CDP!$A$2:$A$322&amp;"",0)),IF(ISNUMBER(_xlpm.x),_xlpm.x,DATE(--LEFT(_xlpm.x,4),--MID(_xlpm.x,6,2),--MID(_xlpm.x,9,2)))),""))</f>
        <v>46029</v>
      </c>
    </row>
    <row r="12" spans="1:34" ht="61.5" customHeight="1" x14ac:dyDescent="0.35">
      <c r="A12" s="1" t="str">
        <f>[1]Contratos!A12</f>
        <v>CONTRATO 11 DE 2026</v>
      </c>
      <c r="B12" s="10" t="s">
        <v>48</v>
      </c>
      <c r="C12" s="10" t="str">
        <f>[1]Contratos!E12</f>
        <v>Prestación de servicios profesionales o Apoyo a la gestión</v>
      </c>
      <c r="D12" s="10" t="s">
        <v>49</v>
      </c>
      <c r="E12" s="11" t="str">
        <f>[1]Contratos!F12</f>
        <v>Prestar apoyo a la Coordinación de Gestión Administrativa y Financiera en la ejecución eficiente de actividades operativas y logísticas relacionadas con el proceso de Gestión Documental de la CRC, con el propósito de fortalecer el cumplimiento oportuno de las funciones asignadas y atender otras necesidades que surjan en el marco de la Gestión documental de la entidad.</v>
      </c>
      <c r="F12" s="12">
        <v>43501912.5</v>
      </c>
      <c r="G12" s="13">
        <f>[1]Contratos!G12</f>
        <v>43501912.5</v>
      </c>
      <c r="H12" s="14" t="str">
        <f>IFERROR(VLOOKUP(A12, [1]Otrosí!A:F, 6, FALSE), "0")</f>
        <v>0</v>
      </c>
      <c r="I12" s="13">
        <f t="shared" si="0"/>
        <v>43501912.5</v>
      </c>
      <c r="J12" s="15">
        <f>IFERROR(_xlfn.LET(_xlpm.x,_xlfn.LET(_xlpm.n,--_xlfn.TEXTBEFORE(_xlfn.TEXTAFTER(A12,"CONTRATO ")," DE"),_xlpm.c,"CONTRATO "&amp;TEXT(_xlpm.n,"00")&amp;" DE 2026",_xlpm.h,'[1]SECOP II'!$A$1:$CQ$1,_xlpm.d,'[1]SECOP II'!$A$2:$CQ$94,_xlpm.r,INDEX(_xlpm.d,0,MATCH("Referencia del Contrato",_xlpm.h,0)),INDEX(_xlpm.d,MATCH(_xlpm.c,_xlpm.r,0),MATCH("Valor Pagado",_xlpm.h,0))),_xlfn.NUMBERVALUE(SUBSTITUTE(_xlpm.x,"$",""),".",",")),"")</f>
        <v>32153587.5</v>
      </c>
      <c r="K12" s="16">
        <f t="shared" si="1"/>
        <v>11348325</v>
      </c>
      <c r="L12" s="17">
        <f t="shared" si="2"/>
        <v>0.73913043478260865</v>
      </c>
      <c r="M12" s="18">
        <f>[1]Contratos!O12</f>
        <v>46036</v>
      </c>
      <c r="N12" s="18">
        <f>[1]Contratos!P12</f>
        <v>46038</v>
      </c>
      <c r="O12" s="18">
        <f>[1]Contratos!Q12</f>
        <v>46387</v>
      </c>
      <c r="P12" s="18" t="str">
        <f>IFERROR(VLOOKUP(A12, [1]Otrosí!A:L, 7, FALSE), "N/A")</f>
        <v>N/A</v>
      </c>
      <c r="Q12" s="19" t="str">
        <f>IFERROR(_xlfn.LET(_xlpm.h,'[1]SECOP II'!$A$1:$CQ$1,_xlpm.d,'[1]SECOP II'!$A$2:$CQ$94,_xlpm.r,INDEX(_xlpm.d,0,MATCH("Referencia del Contrato",_xlpm.h,0)),INDEX(_xlpm.d,MATCH("CONTRATO 11 DE 2026",_xlpm.r,0),MATCH("Tipo de Contrato",_xlpm.h,0))),"")</f>
        <v>Prestación de servicios</v>
      </c>
      <c r="R12" s="20" t="str">
        <f>IFERROR(_xlfn.LET(_xlpm.n,--_xlfn.TEXTBEFORE(_xlfn.TEXTAFTER(A12,"CONTRATO ")," DE"),_xlpm.c,"CONTRATO "&amp;TEXT(_xlpm.n,"00")&amp;" DE 2026",_xlpm.h,'[1]SECOP II'!$A$1:$CQ$1,_xlpm.d,'[1]SECOP II'!$A$2:$CQ$94,_xlpm.r,INDEX(_xlpm.d,0,MATCH("Referencia del Contrato",_xlpm.h,0)),INDEX(_xlpm.d,MATCH(_xlpm.c,_xlpm.r,0),MATCH("Destino Gasto",_xlpm.h,0))),"")</f>
        <v>Funcionamiento</v>
      </c>
      <c r="S12" s="21" t="str">
        <f>IFERROR(_xlfn.LET(_xlpm.n,--_xlfn.TEXTBEFORE(_xlfn.TEXTAFTER(A12,"CONTRATO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https://community.secop.gov.co/Public/Tendering/OpportunityDetail/Index?noticeUID=CO1.NTC.9485342&amp;isFromPublicArea=True&amp;isModal=true&amp;asPopupView=true</v>
      </c>
      <c r="T12" s="22" t="str">
        <f>IFERROR(_xlfn.LET(_xlpm.h,'[1]SECOP II'!$A$1:$CQ$1,_xlpm.d,'[1]SECOP II'!$A$2:$CQ$94,_xlpm.r,INDEX(_xlpm.d,0,MATCH("Referencia del Contrato",_xlpm.h,0)),INDEX(_xlpm.d,MATCH("CONTRATO 11 DE 2026",_xlpm.r,0),MATCH("Estado Contrato",_xlpm.h,0))),"")</f>
        <v>En ejecución</v>
      </c>
      <c r="U12" s="10" t="str">
        <f>[1]Contratos!C12</f>
        <v>PN</v>
      </c>
      <c r="V12" s="10" t="str">
        <f>[1]Contratos!I12</f>
        <v>GESTIÓN ADM. Y FIN</v>
      </c>
      <c r="W12" s="23" t="str">
        <f>[1]Contratos!J12</f>
        <v>DIANA WILCHES</v>
      </c>
      <c r="X12" s="24" cm="1">
        <f t="array" ref="X12">IFERROR(VLOOKUP(W12,[1]COORD!$A$27:$B$67, 2, FALSE),[1]COORD!$B$27:$B$67)</f>
        <v>40049758</v>
      </c>
      <c r="Y12" s="25" t="s">
        <v>35</v>
      </c>
      <c r="Z12" s="26">
        <v>1033819555</v>
      </c>
      <c r="AA12" s="27" t="str" cm="1">
        <f t="array" ref="AA12">IF(Y12&lt;&gt;"NIT","N/A",IF(OR(Z12="",Z12="N/A"),"N/A",IF(ISERROR(VALUE(IF(ISNUMBER(FIND("-",TEXT(Z12,"@"))),LEFT(TEXT(Z12,"@"),FIND("-",TEXT(Z12,"@"))-1),TEXT(Z12,"@")))),"N/A",IF(MOD(SUMPRODUCT(VALUE(MID(TEXT(VALUE(IF(ISNUMBER(FIND("-",TEXT(Z12,"@"))),LEFT(TEXT(Z12,"@"),FIND("-",TEXT(Z12,"@"))-1),TEXT(Z12,"@"))),"000000000000000"),{15,14,13,12,11,10,9,8,7,6,5,4,3,2,1},1)),{3,7,13,17,19,23,29,37,41,43,47,53,59,67,71}),11)=0,0,IF(MOD(SUMPRODUCT(VALUE(MID(TEXT(VALUE(IF(ISNUMBER(FIND("-",TEXT(Z12,"@"))),LEFT(TEXT(Z12,"@"),FIND("-",TEXT(Z12,"@"))-1),TEXT(Z12,"@"))),"000000000000000"),{15,14,13,12,11,10,9,8,7,6,5,4,3,2,1},1)),{3,7,13,17,19,23,29,37,41,43,47,53,59,67,71}),11)=1,1,11-MOD(SUMPRODUCT(VALUE(MID(TEXT(VALUE(IF(ISNUMBER(FIND("-",TEXT(Z12,"@"))),LEFT(TEXT(Z12,"@"),FIND("-",TEXT(Z12,"@"))-1),TEXT(Z12,"@"))),"000000000000000"),{15,14,13,12,11,10,9,8,7,6,5,4,3,2,1},1)),{3,7,13,17,19,23,29,37,41,43,47,53,59,67,71}),11))))))</f>
        <v>N/A</v>
      </c>
      <c r="AB12" s="27">
        <v>80111601</v>
      </c>
      <c r="AC12" s="29" t="str">
        <f>[1]Contratos!Z12</f>
        <v>SI</v>
      </c>
      <c r="AD12" s="30">
        <f t="shared" si="3"/>
        <v>351</v>
      </c>
      <c r="AE12" s="31" t="s">
        <v>46</v>
      </c>
      <c r="AF12" s="31" t="str" cm="1">
        <f t="array" ref="AF12">IF(AG12="","",IFERROR(_xlfn.LET(_xlpm.x,INDEX([1]RP!$Z$2:$Z$706,MATCH(AG12&amp;"",[1]RP!$A$2:$A$706&amp;"",0)),IF(_xlpm.x="","",_xlpm.x)),""))</f>
        <v>1826</v>
      </c>
      <c r="AG12" s="31" cm="1">
        <f t="array" ref="AG12">IF(A12="","",IFERROR(_xlfn.LET(_xlpm.rp,[1]RP!$A$2:$A$706,_xlpm.dt,IFERROR(DATE(--LEFT([1]RP!$B$2:$B$706,4),--MID([1]RP!$B$2:$B$706,6,2),--MID([1]RP!$B$2:$B$706,9,2)),0),_xlpm.qid,UPPER(SUBSTITUTE(SUBSTITUTE(SUBSTITUTE(SUBSTITUTE([1]RP!$Q$2:$Q$706,".",""),"-","")," ",""),"O","0")),_xlpm.eid,UPPER(SUBSTITUTE(SUBSTITUTE(SUBSTITUTE(SUBSTITUTE(Z12,".",""),"-","")," ",""),"O","0")),_xlpm.qnm,UPPER(SUBSTITUTE(SUBSTITUTE(SUBSTITUTE(SUBSTITUTE(SUBSTITUTE([1]RP!$R$2:$R$706,".",""),"-","")," ",""),"Á","A"),"É","E")),_xlpm.enm,UPPER(SUBSTITUTE(SUBSTITUTE(SUBSTITUTE(SUBSTITUTE(SUBSTITUTE(B12,".",""),"-",""),"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12,"CONTRATO ")," DE")&amp;"/2026",_xlpm.dm,--ISNUMBER(SEARCH(_xlpm.num,_xlpm.sup)),_xlpm.dif,IF(_xlpm.ok,(1-_xlpm.dm)*1000000+IF(AND(ISNUMBER(M12),M12&gt;0),ABS(_xlpm.dt-M12),0),1E+99),_xlpm.md,MIN(_xlpm.dif),INDEX(_xlfn._xlws.FILTER(_xlpm.rp,(_xlpm.ok&gt;0)*(_xlpm.dif=_xlpm.md)),1)),""))</f>
        <v>3126</v>
      </c>
      <c r="AH12" s="32" cm="1">
        <f t="array" ref="AH12">IF(AF12="","",IFERROR(_xlfn.LET(_xlpm.x,INDEX([1]CDP!$B$2:$B$322,MATCH(AF12&amp;"",[1]CDP!$A$2:$A$322&amp;"",0)),IF(ISNUMBER(_xlpm.x),_xlpm.x,DATE(--LEFT(_xlpm.x,4),--MID(_xlpm.x,6,2),--MID(_xlpm.x,9,2)))),""))</f>
        <v>46029</v>
      </c>
    </row>
    <row r="13" spans="1:34" ht="61.5" customHeight="1" x14ac:dyDescent="0.35">
      <c r="A13" s="1" t="str">
        <f>[1]Contratos!A13</f>
        <v>CONTRATO 12 DE 2026</v>
      </c>
      <c r="B13" s="10" t="str">
        <f>[1]Contratos!B13</f>
        <v>NICOLAS MATEO GOMEZ BUSTAMANTE</v>
      </c>
      <c r="C13" s="10" t="str">
        <f>[1]Contratos!E13</f>
        <v>Prestación de servicios profesionales o Apoyo a la gestión</v>
      </c>
      <c r="D13" s="10" t="s">
        <v>50</v>
      </c>
      <c r="E13" s="11" t="str">
        <f>[1]Contratos!F13</f>
        <v>Prestar servicios profesionales para apoyar y asesorar las acciones relacionadas con la Gestión Ambiental de la CRC, incluyendo actividades de medición, seguimiento y evaluación de indicadores ambientales, así como acompañamiento en la actualización, implementación y gestión de la Política Ambiental y los Objetivos Ambientales institucionales, en coherencia con los planes, programas y metas definidos por la entidad para el año 2026</v>
      </c>
      <c r="F13" s="12">
        <v>62778500</v>
      </c>
      <c r="G13" s="13">
        <f>[1]Contratos!G13</f>
        <v>62778500</v>
      </c>
      <c r="H13" s="14" t="str">
        <f>IFERROR(VLOOKUP(A13, [1]Otrosí!A:F, 6, FALSE), "0")</f>
        <v>0</v>
      </c>
      <c r="I13" s="13">
        <f t="shared" si="0"/>
        <v>62778500</v>
      </c>
      <c r="J13" s="15">
        <f>IFERROR(_xlfn.LET(_xlpm.x,_xlfn.LET(_xlpm.n,--_xlfn.TEXTBEFORE(_xlfn.TEXTAFTER(A13,"CONTRATO ")," DE"),_xlpm.c,"CONTRATO "&amp;TEXT(_xlpm.n,"00")&amp;" DE 2026",_xlpm.h,'[1]SECOP II'!$A$1:$CQ$1,_xlpm.d,'[1]SECOP II'!$A$2:$CQ$94,_xlpm.r,INDEX(_xlpm.d,0,MATCH("Referencia del Contrato",_xlpm.h,0)),INDEX(_xlpm.d,MATCH(_xlpm.c,_xlpm.r,0),MATCH("Valor Pagado",_xlpm.h,0))),_xlfn.NUMBERVALUE(SUBSTITUTE(_xlpm.x,"$",""),".",",")),"")</f>
        <v>45673633</v>
      </c>
      <c r="K13" s="16">
        <f t="shared" si="1"/>
        <v>17104867</v>
      </c>
      <c r="L13" s="17">
        <f t="shared" si="2"/>
        <v>0.72753622657438455</v>
      </c>
      <c r="M13" s="18">
        <f>[1]Contratos!O13</f>
        <v>46037</v>
      </c>
      <c r="N13" s="18">
        <f>[1]Contratos!P13</f>
        <v>46042</v>
      </c>
      <c r="O13" s="18">
        <f>[1]Contratos!Q13</f>
        <v>46387</v>
      </c>
      <c r="P13" s="18" t="str">
        <f>IFERROR(VLOOKUP(A13, [1]Otrosí!A:L, 7, FALSE), "N/A")</f>
        <v>N/A</v>
      </c>
      <c r="Q13" s="19" t="str">
        <f>IFERROR(_xlfn.LET(_xlpm.h,'[1]SECOP II'!$A$1:$CQ$1,_xlpm.d,'[1]SECOP II'!$A$2:$CQ$94,_xlpm.r,INDEX(_xlpm.d,0,MATCH("Referencia del Contrato",_xlpm.h,0)),INDEX(_xlpm.d,MATCH("CONTRATO 12 DE 2026",_xlpm.r,0),MATCH("Tipo de Contrato",_xlpm.h,0))),"")</f>
        <v>Prestación de servicios</v>
      </c>
      <c r="R13" s="20" t="str">
        <f>IFERROR(_xlfn.LET(_xlpm.n,--_xlfn.TEXTBEFORE(_xlfn.TEXTAFTER(A13,"CONTRATO ")," DE"),_xlpm.c,"CONTRATO "&amp;TEXT(_xlpm.n,"00")&amp;" DE 2026",_xlpm.h,'[1]SECOP II'!$A$1:$CQ$1,_xlpm.d,'[1]SECOP II'!$A$2:$CQ$94,_xlpm.r,INDEX(_xlpm.d,0,MATCH("Referencia del Contrato",_xlpm.h,0)),INDEX(_xlpm.d,MATCH(_xlpm.c,_xlpm.r,0),MATCH("Destino Gasto",_xlpm.h,0))),"")</f>
        <v>Funcionamiento</v>
      </c>
      <c r="S13" s="21" t="str">
        <f>IFERROR(_xlfn.LET(_xlpm.n,--_xlfn.TEXTBEFORE(_xlfn.TEXTAFTER(A13,"CONTRATO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https://community.secop.gov.co/Public/Tendering/OpportunityDetail/Index?noticeUID=CO1.NTC.9489116&amp;isFromPublicArea=True&amp;isModal=true&amp;asPopupView=true</v>
      </c>
      <c r="T13" s="22" t="str">
        <f>IFERROR(_xlfn.LET(_xlpm.h,'[1]SECOP II'!$A$1:$CQ$1,_xlpm.d,'[1]SECOP II'!$A$2:$CQ$94,_xlpm.r,INDEX(_xlpm.d,0,MATCH("Referencia del Contrato",_xlpm.h,0)),INDEX(_xlpm.d,MATCH("CONTRATO 12 DE 2026",_xlpm.r,0),MATCH("Estado Contrato",_xlpm.h,0))),"")</f>
        <v>En ejecución</v>
      </c>
      <c r="U13" s="10" t="str">
        <f>[1]Contratos!C13</f>
        <v>PN</v>
      </c>
      <c r="V13" s="10" t="str">
        <f>[1]Contratos!I13</f>
        <v>GESTIÓN ADM. Y FIN</v>
      </c>
      <c r="W13" s="23" t="str">
        <f>[1]Contratos!J13</f>
        <v>DIANA WILCHES</v>
      </c>
      <c r="X13" s="24" cm="1">
        <f t="array" ref="X13">IFERROR(VLOOKUP(W13,[1]COORD!$A$27:$B$67, 2, FALSE),[1]COORD!$B$27:$B$67)</f>
        <v>40049758</v>
      </c>
      <c r="Y13" s="25" t="s">
        <v>35</v>
      </c>
      <c r="Z13" s="26">
        <v>1053851255</v>
      </c>
      <c r="AA13" s="27" t="str" cm="1">
        <f t="array" ref="AA13">IF(Y13&lt;&gt;"NIT","N/A",IF(OR(Z13="",Z13="N/A"),"N/A",IF(ISERROR(VALUE(IF(ISNUMBER(FIND("-",TEXT(Z13,"@"))),LEFT(TEXT(Z13,"@"),FIND("-",TEXT(Z13,"@"))-1),TEXT(Z13,"@")))),"N/A",IF(MOD(SUMPRODUCT(VALUE(MID(TEXT(VALUE(IF(ISNUMBER(FIND("-",TEXT(Z13,"@"))),LEFT(TEXT(Z13,"@"),FIND("-",TEXT(Z13,"@"))-1),TEXT(Z13,"@"))),"000000000000000"),{15,14,13,12,11,10,9,8,7,6,5,4,3,2,1},1)),{3,7,13,17,19,23,29,37,41,43,47,53,59,67,71}),11)=0,0,IF(MOD(SUMPRODUCT(VALUE(MID(TEXT(VALUE(IF(ISNUMBER(FIND("-",TEXT(Z13,"@"))),LEFT(TEXT(Z13,"@"),FIND("-",TEXT(Z13,"@"))-1),TEXT(Z13,"@"))),"000000000000000"),{15,14,13,12,11,10,9,8,7,6,5,4,3,2,1},1)),{3,7,13,17,19,23,29,37,41,43,47,53,59,67,71}),11)=1,1,11-MOD(SUMPRODUCT(VALUE(MID(TEXT(VALUE(IF(ISNUMBER(FIND("-",TEXT(Z13,"@"))),LEFT(TEXT(Z13,"@"),FIND("-",TEXT(Z13,"@"))-1),TEXT(Z13,"@"))),"000000000000000"),{15,14,13,12,11,10,9,8,7,6,5,4,3,2,1},1)),{3,7,13,17,19,23,29,37,41,43,47,53,59,67,71}),11))))))</f>
        <v>N/A</v>
      </c>
      <c r="AB13" s="27">
        <v>77101500</v>
      </c>
      <c r="AC13" s="29" t="str">
        <f>[1]Contratos!Z13</f>
        <v>NO</v>
      </c>
      <c r="AD13" s="30">
        <f t="shared" si="3"/>
        <v>350</v>
      </c>
      <c r="AE13" s="31" t="s">
        <v>46</v>
      </c>
      <c r="AF13" s="31" t="str" cm="1">
        <f t="array" ref="AF13">IF(AG13="","",IFERROR(_xlfn.LET(_xlpm.x,INDEX([1]RP!$Z$2:$Z$706,MATCH(AG13&amp;"",[1]RP!$A$2:$A$706&amp;"",0)),IF(_xlpm.x="","",_xlpm.x)),""))</f>
        <v>1926</v>
      </c>
      <c r="AG13" s="31" cm="1">
        <f t="array" ref="AG13">IF(A13="","",IFERROR(_xlfn.LET(_xlpm.rp,[1]RP!$A$2:$A$706,_xlpm.dt,IFERROR(DATE(--LEFT([1]RP!$B$2:$B$706,4),--MID([1]RP!$B$2:$B$706,6,2),--MID([1]RP!$B$2:$B$706,9,2)),0),_xlpm.qid,UPPER(SUBSTITUTE(SUBSTITUTE(SUBSTITUTE(SUBSTITUTE([1]RP!$Q$2:$Q$706,".",""),"-","")," ",""),"O","0")),_xlpm.eid,UPPER(SUBSTITUTE(SUBSTITUTE(SUBSTITUTE(SUBSTITUTE(Z13,".",""),"-","")," ",""),"O","0")),_xlpm.qnm,UPPER(SUBSTITUTE(SUBSTITUTE(SUBSTITUTE(SUBSTITUTE(SUBSTITUTE([1]RP!$R$2:$R$706,".",""),"-","")," ",""),"Á","A"),"É","E")),_xlpm.enm,UPPER(SUBSTITUTE(SUBSTITUTE(SUBSTITUTE(SUBSTITUTE(SUBSTITUTE(B13,".",""),"-",""),"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13,"CONTRATO ")," DE")&amp;"/2026",_xlpm.dm,--ISNUMBER(SEARCH(_xlpm.num,_xlpm.sup)),_xlpm.dif,IF(_xlpm.ok,(1-_xlpm.dm)*1000000+IF(AND(ISNUMBER(M13),M13&gt;0),ABS(_xlpm.dt-M13),0),1E+99),_xlpm.md,MIN(_xlpm.dif),INDEX(_xlfn._xlws.FILTER(_xlpm.rp,(_xlpm.ok&gt;0)*(_xlpm.dif=_xlpm.md)),1)),""))</f>
        <v>4426</v>
      </c>
      <c r="AH13" s="32" cm="1">
        <f t="array" ref="AH13">IF(AF13="","",IFERROR(_xlfn.LET(_xlpm.x,INDEX([1]CDP!$B$2:$B$322,MATCH(AF13&amp;"",[1]CDP!$A$2:$A$322&amp;"",0)),IF(ISNUMBER(_xlpm.x),_xlpm.x,DATE(--LEFT(_xlpm.x,4),--MID(_xlpm.x,6,2),--MID(_xlpm.x,9,2)))),""))</f>
        <v>46029</v>
      </c>
    </row>
    <row r="14" spans="1:34" ht="61.5" customHeight="1" x14ac:dyDescent="0.35">
      <c r="A14" s="1" t="str">
        <f>[1]Contratos!A14</f>
        <v>CONTRATO 13 DE 2026</v>
      </c>
      <c r="B14" s="10" t="s">
        <v>51</v>
      </c>
      <c r="C14" s="10" t="str">
        <f>[1]Contratos!E14</f>
        <v>Prestación de servicios profesionales o Apoyo a la gestión</v>
      </c>
      <c r="D14" s="10" t="s">
        <v>52</v>
      </c>
      <c r="E14" s="11" t="str">
        <f>[1]Contratos!F14</f>
        <v xml:space="preserve">Prestar servicios profesionales especializados en derecho tributario para apoyar y acompañar a la Comisión de Regulación de Comunicaciones (CRC) en el desarrollo de las actividades relacionadas con la Contribución a su favor, conforme a lo dispuesto en el artículo 24 de la Ley 1341 de 2009 y sus modificaciones. Estas actividades incluyen, entre otras, la atención de procesos de discusión administrativa, la aplicación del régimen sancionatorio, el adelanto de actuaciones de cobro coactivo y el seguimiento o respuesta a demandas judiciales derivadas de este concepto, durante la vigencia 2026. El servicio no incluye la representación judicial ni administrativa de la Entidad. </v>
      </c>
      <c r="F14" s="12">
        <v>250674470</v>
      </c>
      <c r="G14" s="13">
        <f>[1]Contratos!G14</f>
        <v>250674470</v>
      </c>
      <c r="H14" s="14" t="str">
        <f>IFERROR(VLOOKUP(A14, [1]Otrosí!A:F, 6, FALSE), "0")</f>
        <v>0</v>
      </c>
      <c r="I14" s="13">
        <f t="shared" si="0"/>
        <v>250674470</v>
      </c>
      <c r="J14" s="15">
        <f>IFERROR(_xlfn.LET(_xlpm.x,_xlfn.LET(_xlpm.n,--_xlfn.TEXTBEFORE(_xlfn.TEXTAFTER(A14,"CONTRATO ")," DE"),_xlpm.c,"CONTRATO "&amp;TEXT(_xlpm.n,"00")&amp;" DE 2026",_xlpm.h,'[1]SECOP II'!$A$1:$CQ$1,_xlpm.d,'[1]SECOP II'!$A$2:$CQ$94,_xlpm.r,INDEX(_xlpm.d,0,MATCH("Referencia del Contrato",_xlpm.h,0)),INDEX(_xlpm.d,MATCH(_xlpm.c,_xlpm.r,0),MATCH("Valor Pagado",_xlpm.h,0))),_xlfn.NUMBERVALUE(SUBSTITUTE(_xlpm.x,"$",""),".",",")),"")</f>
        <v>185281128.13</v>
      </c>
      <c r="K14" s="16">
        <f t="shared" si="1"/>
        <v>65393341.870000005</v>
      </c>
      <c r="L14" s="17">
        <f t="shared" si="2"/>
        <v>0.73913042732273448</v>
      </c>
      <c r="M14" s="18">
        <f>[1]Contratos!O14</f>
        <v>46036</v>
      </c>
      <c r="N14" s="18">
        <f>[1]Contratos!P14</f>
        <v>46038</v>
      </c>
      <c r="O14" s="18">
        <f>[1]Contratos!Q14</f>
        <v>46387</v>
      </c>
      <c r="P14" s="18" t="str">
        <f>IFERROR(VLOOKUP(A14, [1]Otrosí!A:L, 7, FALSE), "N/A")</f>
        <v>N/A</v>
      </c>
      <c r="Q14" s="19" t="str">
        <f>IFERROR(_xlfn.LET(_xlpm.h,'[1]SECOP II'!$A$1:$CQ$1,_xlpm.d,'[1]SECOP II'!$A$2:$CQ$94,_xlpm.r,INDEX(_xlpm.d,0,MATCH("Referencia del Contrato",_xlpm.h,0)),INDEX(_xlpm.d,MATCH("CONTRATO 13 DE 2026",_xlpm.r,0),MATCH("Tipo de Contrato",_xlpm.h,0))),"")</f>
        <v>Prestación de servicios</v>
      </c>
      <c r="R14" s="20" t="str">
        <f>IFERROR(_xlfn.LET(_xlpm.n,--_xlfn.TEXTBEFORE(_xlfn.TEXTAFTER(A14,"CONTRATO ")," DE"),_xlpm.c,"CONTRATO "&amp;TEXT(_xlpm.n,"00")&amp;" DE 2026",_xlpm.h,'[1]SECOP II'!$A$1:$CQ$1,_xlpm.d,'[1]SECOP II'!$A$2:$CQ$94,_xlpm.r,INDEX(_xlpm.d,0,MATCH("Referencia del Contrato",_xlpm.h,0)),INDEX(_xlpm.d,MATCH(_xlpm.c,_xlpm.r,0),MATCH("Destino Gasto",_xlpm.h,0))),"")</f>
        <v>Inversión</v>
      </c>
      <c r="S14" s="21" t="str">
        <f>IFERROR(_xlfn.LET(_xlpm.n,--_xlfn.TEXTBEFORE(_xlfn.TEXTAFTER(A14,"CONTRATO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https://community.secop.gov.co/Public/Tendering/OpportunityDetail/Index?noticeUID=CO1.NTC.9487901&amp;isFromPublicArea=True&amp;isModal=true&amp;asPopupView=true</v>
      </c>
      <c r="T14" s="22" t="str">
        <f>IFERROR(_xlfn.LET(_xlpm.h,'[1]SECOP II'!$A$1:$CQ$1,_xlpm.d,'[1]SECOP II'!$A$2:$CQ$94,_xlpm.r,INDEX(_xlpm.d,0,MATCH("Referencia del Contrato",_xlpm.h,0)),INDEX(_xlpm.d,MATCH("CONTRATO 13 DE 2026",_xlpm.r,0),MATCH("Estado Contrato",_xlpm.h,0))),"")</f>
        <v>En ejecución</v>
      </c>
      <c r="U14" s="10" t="str">
        <f>[1]Contratos!C14</f>
        <v>PN</v>
      </c>
      <c r="V14" s="10" t="str">
        <f>[1]Contratos!I14</f>
        <v>GESTIÓN ADM. Y FIN</v>
      </c>
      <c r="W14" s="23" t="str">
        <f>[1]Contratos!J14</f>
        <v>DIANA WILCHES</v>
      </c>
      <c r="X14" s="24" cm="1">
        <f t="array" ref="X14">IFERROR(VLOOKUP(W14,[1]COORD!$A$27:$B$67, 2, FALSE),[1]COORD!$B$27:$B$67)</f>
        <v>40049758</v>
      </c>
      <c r="Y14" s="25" t="s">
        <v>35</v>
      </c>
      <c r="Z14" s="26">
        <v>79490451</v>
      </c>
      <c r="AA14" s="27" t="str" cm="1">
        <f t="array" ref="AA14">IF(Y14&lt;&gt;"NIT","N/A",IF(OR(Z14="",Z14="N/A"),"N/A",IF(ISERROR(VALUE(IF(ISNUMBER(FIND("-",TEXT(Z14,"@"))),LEFT(TEXT(Z14,"@"),FIND("-",TEXT(Z14,"@"))-1),TEXT(Z14,"@")))),"N/A",IF(MOD(SUMPRODUCT(VALUE(MID(TEXT(VALUE(IF(ISNUMBER(FIND("-",TEXT(Z14,"@"))),LEFT(TEXT(Z14,"@"),FIND("-",TEXT(Z14,"@"))-1),TEXT(Z14,"@"))),"000000000000000"),{15,14,13,12,11,10,9,8,7,6,5,4,3,2,1},1)),{3,7,13,17,19,23,29,37,41,43,47,53,59,67,71}),11)=0,0,IF(MOD(SUMPRODUCT(VALUE(MID(TEXT(VALUE(IF(ISNUMBER(FIND("-",TEXT(Z14,"@"))),LEFT(TEXT(Z14,"@"),FIND("-",TEXT(Z14,"@"))-1),TEXT(Z14,"@"))),"000000000000000"),{15,14,13,12,11,10,9,8,7,6,5,4,3,2,1},1)),{3,7,13,17,19,23,29,37,41,43,47,53,59,67,71}),11)=1,1,11-MOD(SUMPRODUCT(VALUE(MID(TEXT(VALUE(IF(ISNUMBER(FIND("-",TEXT(Z14,"@"))),LEFT(TEXT(Z14,"@"),FIND("-",TEXT(Z14,"@"))-1),TEXT(Z14,"@"))),"000000000000000"),{15,14,13,12,11,10,9,8,7,6,5,4,3,2,1},1)),{3,7,13,17,19,23,29,37,41,43,47,53,59,67,71}),11))))))</f>
        <v>N/A</v>
      </c>
      <c r="AB14" s="27">
        <v>80121607</v>
      </c>
      <c r="AC14" s="29" t="str">
        <f>[1]Contratos!Z14</f>
        <v>NO</v>
      </c>
      <c r="AD14" s="30">
        <f t="shared" si="3"/>
        <v>351</v>
      </c>
      <c r="AE14" s="31" t="s">
        <v>37</v>
      </c>
      <c r="AF14" s="31" t="str" cm="1">
        <f t="array" ref="AF14">IF(AG14="","",IFERROR(_xlfn.LET(_xlpm.x,INDEX([1]RP!$Z$2:$Z$706,MATCH(AG14&amp;"",[1]RP!$A$2:$A$706&amp;"",0)),IF(_xlpm.x="","",_xlpm.x)),""))</f>
        <v>2026</v>
      </c>
      <c r="AG14" s="31" cm="1">
        <f t="array" ref="AG14">IF(A14="","",IFERROR(_xlfn.LET(_xlpm.rp,[1]RP!$A$2:$A$706,_xlpm.dt,IFERROR(DATE(--LEFT([1]RP!$B$2:$B$706,4),--MID([1]RP!$B$2:$B$706,6,2),--MID([1]RP!$B$2:$B$706,9,2)),0),_xlpm.qid,UPPER(SUBSTITUTE(SUBSTITUTE(SUBSTITUTE(SUBSTITUTE([1]RP!$Q$2:$Q$706,".",""),"-","")," ",""),"O","0")),_xlpm.eid,UPPER(SUBSTITUTE(SUBSTITUTE(SUBSTITUTE(SUBSTITUTE(Z14,".",""),"-","")," ",""),"O","0")),_xlpm.qnm,UPPER(SUBSTITUTE(SUBSTITUTE(SUBSTITUTE(SUBSTITUTE(SUBSTITUTE([1]RP!$R$2:$R$706,".",""),"-","")," ",""),"Á","A"),"É","E")),_xlpm.enm,UPPER(SUBSTITUTE(SUBSTITUTE(SUBSTITUTE(SUBSTITUTE(SUBSTITUTE(B14,".",""),"-",""),"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14,"CONTRATO ")," DE")&amp;"/2026",_xlpm.dm,--ISNUMBER(SEARCH(_xlpm.num,_xlpm.sup)),_xlpm.dif,IF(_xlpm.ok,(1-_xlpm.dm)*1000000+IF(AND(ISNUMBER(M14),M14&gt;0),ABS(_xlpm.dt-M14),0),1E+99),_xlpm.md,MIN(_xlpm.dif),INDEX(_xlfn._xlws.FILTER(_xlpm.rp,(_xlpm.ok&gt;0)*(_xlpm.dif=_xlpm.md)),1)),""))</f>
        <v>3426</v>
      </c>
      <c r="AH14" s="32" cm="1">
        <f t="array" ref="AH14">IF(AF14="","",IFERROR(_xlfn.LET(_xlpm.x,INDEX([1]CDP!$B$2:$B$322,MATCH(AF14&amp;"",[1]CDP!$A$2:$A$322&amp;"",0)),IF(ISNUMBER(_xlpm.x),_xlpm.x,DATE(--LEFT(_xlpm.x,4),--MID(_xlpm.x,6,2),--MID(_xlpm.x,9,2)))),""))</f>
        <v>46029</v>
      </c>
    </row>
    <row r="15" spans="1:34" ht="61.5" customHeight="1" x14ac:dyDescent="0.35">
      <c r="A15" s="1" t="str">
        <f>[1]Contratos!A15</f>
        <v>CONTRATO 14 DE 2026</v>
      </c>
      <c r="B15" s="10" t="s">
        <v>53</v>
      </c>
      <c r="C15" s="10" t="str">
        <f>[1]Contratos!E15</f>
        <v>Prestación de servicios profesionales o Apoyo a la gestión</v>
      </c>
      <c r="D15" s="10" t="s">
        <v>54</v>
      </c>
      <c r="E15" s="11" t="str">
        <f>[1]Contratos!F15</f>
        <v xml:space="preserve">Prestar servicios profesionales para el diseño, ejecución y evaluación de estrategias orientadas al fortalecimiento del pluralismo informativo y la alfabetización mediática, mediante el desarrollo de metodologías de observación y análisis de contenidos, la ejecución de proyectos regulatorios y estrategias pedagógicas innovadoras que promuevan el consumo responsable de información y la comprensión del entorno comunicativo convergente, en el marco de los proyectos contemplados dentro de la Agenda Regulatoria y el Plan de Acción 2026. </v>
      </c>
      <c r="F15" s="12">
        <v>136132700</v>
      </c>
      <c r="G15" s="13">
        <f>[1]Contratos!G15</f>
        <v>136132700</v>
      </c>
      <c r="H15" s="14" t="str">
        <f>IFERROR(VLOOKUP(A15, [1]Otrosí!A:F, 6, FALSE), "0")</f>
        <v>0</v>
      </c>
      <c r="I15" s="13">
        <f t="shared" si="0"/>
        <v>136132700</v>
      </c>
      <c r="J15" s="15">
        <f>IFERROR(_xlfn.LET(_xlpm.x,_xlfn.LET(_xlpm.n,--_xlfn.TEXTBEFORE(_xlfn.TEXTAFTER(A15,"CONTRATO ")," DE"),_xlpm.c,"CONTRATO "&amp;TEXT(_xlpm.n,"00")&amp;" DE 2026",_xlpm.h,'[1]SECOP II'!$A$1:$CQ$1,_xlpm.d,'[1]SECOP II'!$A$2:$CQ$94,_xlpm.r,INDEX(_xlpm.d,0,MATCH("Referencia del Contrato",_xlpm.h,0)),INDEX(_xlpm.d,MATCH(_xlpm.c,_xlpm.r,0),MATCH("Valor Pagado",_xlpm.h,0))),_xlfn.NUMBERVALUE(SUBSTITUTE(_xlpm.x,"$",""),".",",")),"")</f>
        <v>100619821</v>
      </c>
      <c r="K15" s="16">
        <f t="shared" si="1"/>
        <v>35512879</v>
      </c>
      <c r="L15" s="17">
        <f t="shared" si="2"/>
        <v>0.73913042935312379</v>
      </c>
      <c r="M15" s="18">
        <f>[1]Contratos!O15</f>
        <v>46036</v>
      </c>
      <c r="N15" s="18">
        <f>[1]Contratos!P15</f>
        <v>46038</v>
      </c>
      <c r="O15" s="18">
        <f>[1]Contratos!Q15</f>
        <v>46387</v>
      </c>
      <c r="P15" s="18" t="str">
        <f>IFERROR(VLOOKUP(A15, [1]Otrosí!A:L, 7, FALSE), "N/A")</f>
        <v>N/A</v>
      </c>
      <c r="Q15" s="19" t="str">
        <f>IFERROR(_xlfn.LET(_xlpm.h,'[1]SECOP II'!$A$1:$CQ$1,_xlpm.d,'[1]SECOP II'!$A$2:$CQ$94,_xlpm.r,INDEX(_xlpm.d,0,MATCH("Referencia del Contrato",_xlpm.h,0)),INDEX(_xlpm.d,MATCH("CONTRATO 14 DE 2026",_xlpm.r,0),MATCH("Tipo de Contrato",_xlpm.h,0))),"")</f>
        <v>Prestación de servicios</v>
      </c>
      <c r="R15" s="20" t="str">
        <f>IFERROR(_xlfn.LET(_xlpm.n,--_xlfn.TEXTBEFORE(_xlfn.TEXTAFTER(A15,"CONTRATO ")," DE"),_xlpm.c,"CONTRATO "&amp;TEXT(_xlpm.n,"00")&amp;" DE 2026",_xlpm.h,'[1]SECOP II'!$A$1:$CQ$1,_xlpm.d,'[1]SECOP II'!$A$2:$CQ$94,_xlpm.r,INDEX(_xlpm.d,0,MATCH("Referencia del Contrato",_xlpm.h,0)),INDEX(_xlpm.d,MATCH(_xlpm.c,_xlpm.r,0),MATCH("Destino Gasto",_xlpm.h,0))),"")</f>
        <v>Inversión</v>
      </c>
      <c r="S15" s="21" t="str">
        <f>IFERROR(_xlfn.LET(_xlpm.n,--_xlfn.TEXTBEFORE(_xlfn.TEXTAFTER(A15,"CONTRATO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https://community.secop.gov.co/Public/Tendering/OpportunityDetail/Index?noticeUID=CO1.NTC.9487596&amp;isFromPublicArea=True&amp;isModal=true&amp;asPopupView=true</v>
      </c>
      <c r="T15" s="22" t="str">
        <f>IFERROR(_xlfn.LET(_xlpm.h,'[1]SECOP II'!$A$1:$CQ$1,_xlpm.d,'[1]SECOP II'!$A$2:$CQ$94,_xlpm.r,INDEX(_xlpm.d,0,MATCH("Referencia del Contrato",_xlpm.h,0)),INDEX(_xlpm.d,MATCH("CONTRATO 14 DE 2026",_xlpm.r,0),MATCH("Estado Contrato",_xlpm.h,0))),"")</f>
        <v>En ejecución</v>
      </c>
      <c r="U15" s="10" t="str">
        <f>[1]Contratos!C15</f>
        <v>PN</v>
      </c>
      <c r="V15" s="10" t="str">
        <f>[1]Contratos!I15</f>
        <v>PEDAGOGÍA REGULATORIA</v>
      </c>
      <c r="W15" s="23" t="str">
        <f>[1]Contratos!J15</f>
        <v>RICARDO RAMÍREZ</v>
      </c>
      <c r="X15" s="24" cm="1">
        <f t="array" ref="X15">IFERROR(VLOOKUP(W15,[1]COORD!$A$27:$B$67, 2, FALSE),[1]COORD!$B$27:$B$67)</f>
        <v>79444533</v>
      </c>
      <c r="Y15" s="25" t="s">
        <v>35</v>
      </c>
      <c r="Z15" s="26">
        <v>1018410406</v>
      </c>
      <c r="AA15" s="27" t="str" cm="1">
        <f t="array" ref="AA15">IF(Y15&lt;&gt;"NIT","N/A",IF(OR(Z15="",Z15="N/A"),"N/A",IF(ISERROR(VALUE(IF(ISNUMBER(FIND("-",TEXT(Z15,"@"))),LEFT(TEXT(Z15,"@"),FIND("-",TEXT(Z15,"@"))-1),TEXT(Z15,"@")))),"N/A",IF(MOD(SUMPRODUCT(VALUE(MID(TEXT(VALUE(IF(ISNUMBER(FIND("-",TEXT(Z15,"@"))),LEFT(TEXT(Z15,"@"),FIND("-",TEXT(Z15,"@"))-1),TEXT(Z15,"@"))),"000000000000000"),{15,14,13,12,11,10,9,8,7,6,5,4,3,2,1},1)),{3,7,13,17,19,23,29,37,41,43,47,53,59,67,71}),11)=0,0,IF(MOD(SUMPRODUCT(VALUE(MID(TEXT(VALUE(IF(ISNUMBER(FIND("-",TEXT(Z15,"@"))),LEFT(TEXT(Z15,"@"),FIND("-",TEXT(Z15,"@"))-1),TEXT(Z15,"@"))),"000000000000000"),{15,14,13,12,11,10,9,8,7,6,5,4,3,2,1},1)),{3,7,13,17,19,23,29,37,41,43,47,53,59,67,71}),11)=1,1,11-MOD(SUMPRODUCT(VALUE(MID(TEXT(VALUE(IF(ISNUMBER(FIND("-",TEXT(Z15,"@"))),LEFT(TEXT(Z15,"@"),FIND("-",TEXT(Z15,"@"))-1),TEXT(Z15,"@"))),"000000000000000"),{15,14,13,12,11,10,9,8,7,6,5,4,3,2,1},1)),{3,7,13,17,19,23,29,37,41,43,47,53,59,67,71}),11))))))</f>
        <v>N/A</v>
      </c>
      <c r="AB15" s="27">
        <v>80121601</v>
      </c>
      <c r="AC15" s="29" t="str">
        <f>[1]Contratos!Z15</f>
        <v>NO</v>
      </c>
      <c r="AD15" s="30">
        <f t="shared" si="3"/>
        <v>351</v>
      </c>
      <c r="AE15" s="31" t="s">
        <v>37</v>
      </c>
      <c r="AF15" s="31" t="str" cm="1">
        <f t="array" ref="AF15">IF(AG15="","",IFERROR(_xlfn.LET(_xlpm.x,INDEX([1]RP!$Z$2:$Z$706,MATCH(AG15&amp;"",[1]RP!$A$2:$A$706&amp;"",0)),IF(_xlpm.x="","",_xlpm.x)),""))</f>
        <v>3626</v>
      </c>
      <c r="AG15" s="31" cm="1">
        <f t="array" ref="AG15">IF(A15="","",IFERROR(_xlfn.LET(_xlpm.rp,[1]RP!$A$2:$A$706,_xlpm.dt,IFERROR(DATE(--LEFT([1]RP!$B$2:$B$706,4),--MID([1]RP!$B$2:$B$706,6,2),--MID([1]RP!$B$2:$B$706,9,2)),0),_xlpm.qid,UPPER(SUBSTITUTE(SUBSTITUTE(SUBSTITUTE(SUBSTITUTE([1]RP!$Q$2:$Q$706,".",""),"-","")," ",""),"O","0")),_xlpm.eid,UPPER(SUBSTITUTE(SUBSTITUTE(SUBSTITUTE(SUBSTITUTE(Z15,".",""),"-","")," ",""),"O","0")),_xlpm.qnm,UPPER(SUBSTITUTE(SUBSTITUTE(SUBSTITUTE(SUBSTITUTE(SUBSTITUTE([1]RP!$R$2:$R$706,".",""),"-","")," ",""),"Á","A"),"É","E")),_xlpm.enm,UPPER(SUBSTITUTE(SUBSTITUTE(SUBSTITUTE(SUBSTITUTE(SUBSTITUTE(B15,".",""),"-",""),"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15,"CONTRATO ")," DE")&amp;"/2026",_xlpm.dm,--ISNUMBER(SEARCH(_xlpm.num,_xlpm.sup)),_xlpm.dif,IF(_xlpm.ok,(1-_xlpm.dm)*1000000+IF(AND(ISNUMBER(M15),M15&gt;0),ABS(_xlpm.dt-M15),0),1E+99),_xlpm.md,MIN(_xlpm.dif),INDEX(_xlfn._xlws.FILTER(_xlpm.rp,(_xlpm.ok&gt;0)*(_xlpm.dif=_xlpm.md)),1)),""))</f>
        <v>3526</v>
      </c>
      <c r="AH15" s="32" cm="1">
        <f t="array" ref="AH15">IF(AF15="","",IFERROR(_xlfn.LET(_xlpm.x,INDEX([1]CDP!$B$2:$B$322,MATCH(AF15&amp;"",[1]CDP!$A$2:$A$322&amp;"",0)),IF(ISNUMBER(_xlpm.x),_xlpm.x,DATE(--LEFT(_xlpm.x,4),--MID(_xlpm.x,6,2),--MID(_xlpm.x,9,2)))),""))</f>
        <v>46030</v>
      </c>
    </row>
    <row r="16" spans="1:34" ht="61.5" customHeight="1" x14ac:dyDescent="0.35">
      <c r="A16" s="1" t="str">
        <f>[1]Contratos!A16</f>
        <v>CONTRATO 15 DE 2026</v>
      </c>
      <c r="B16" s="10" t="str">
        <f>[1]Contratos!B16</f>
        <v>MÓNICA MEJÍA / CEDIDO A LADY TORREZ</v>
      </c>
      <c r="C16" s="10" t="str">
        <f>[1]Contratos!E16</f>
        <v>Prestación de servicios profesionales o Apoyo a la gestión</v>
      </c>
      <c r="D16" s="10" t="s">
        <v>55</v>
      </c>
      <c r="E16" s="11" t="str">
        <f>[1]Contratos!F16</f>
        <v xml:space="preserve">prestar servicios profesionales con plena autonomía técnica y administrativa para apoyar al Grupo Interno de Trabajo de Control Interno de la CRC en la planeación, ejecución y seguimiento del Plan Anual de Auditoría 2026, con enfoque basado en riesgos, incluyendo la elaboración de informes de ley, la realización de auditorías internas y el seguimiento y evaluación de planes de mejoramiento, en cumplimiento de la normativa vigente y en articulación con los objetivos estratégicos y el Sistema de Control Interno de la Entidad. </v>
      </c>
      <c r="F16" s="12">
        <v>74750000</v>
      </c>
      <c r="G16" s="13">
        <f>[1]Contratos!G16</f>
        <v>74750000</v>
      </c>
      <c r="H16" s="14" t="str">
        <f>IFERROR(VLOOKUP(A16, [1]Otrosí!A:F, 6, FALSE), "0")</f>
        <v xml:space="preserve">N/A  </v>
      </c>
      <c r="I16" s="13">
        <f t="shared" si="0"/>
        <v>74750000</v>
      </c>
      <c r="J16" s="15">
        <f>IFERROR(_xlfn.LET(_xlpm.x,_xlfn.LET(_xlpm.n,--_xlfn.TEXTBEFORE(_xlfn.TEXTAFTER(A16,"CONTRATO ")," DE"),_xlpm.c,"CONTRATO "&amp;TEXT(_xlpm.n,"00")&amp;" DE 2026",_xlpm.h,'[1]SECOP II'!$A$1:$CQ$1,_xlpm.d,'[1]SECOP II'!$A$2:$CQ$94,_xlpm.r,INDEX(_xlpm.d,0,MATCH("Referencia del Contrato",_xlpm.h,0)),INDEX(_xlpm.d,MATCH(_xlpm.c,_xlpm.r,0),MATCH("Valor Pagado",_xlpm.h,0))),_xlfn.NUMBERVALUE(SUBSTITUTE(_xlpm.x,"$",""),".",",")),"")</f>
        <v>48750000</v>
      </c>
      <c r="K16" s="16">
        <f t="shared" si="1"/>
        <v>26000000</v>
      </c>
      <c r="L16" s="17">
        <f t="shared" si="2"/>
        <v>0.65217391304347827</v>
      </c>
      <c r="M16" s="18">
        <f>[1]Contratos!O16</f>
        <v>46036</v>
      </c>
      <c r="N16" s="18">
        <f>[1]Contratos!P16</f>
        <v>46038</v>
      </c>
      <c r="O16" s="18">
        <f>[1]Contratos!Q16</f>
        <v>46387</v>
      </c>
      <c r="P16" s="18" t="str">
        <f>IFERROR(VLOOKUP(A16, [1]Otrosí!A:L, 7, FALSE), "N/A")</f>
        <v xml:space="preserve">N/A  </v>
      </c>
      <c r="Q16" s="19" t="str">
        <f>IFERROR(_xlfn.LET(_xlpm.h,'[1]SECOP II'!$A$1:$CQ$1,_xlpm.d,'[1]SECOP II'!$A$2:$CQ$94,_xlpm.r,INDEX(_xlpm.d,0,MATCH("Referencia del Contrato",_xlpm.h,0)),INDEX(_xlpm.d,MATCH("CONTRATO 15 DE 2026",_xlpm.r,0),MATCH("Tipo de Contrato",_xlpm.h,0))),"")</f>
        <v>Prestación de servicios</v>
      </c>
      <c r="R16" s="20" t="str">
        <f>IFERROR(_xlfn.LET(_xlpm.n,--_xlfn.TEXTBEFORE(_xlfn.TEXTAFTER(A16,"CONTRATO ")," DE"),_xlpm.c,"CONTRATO "&amp;TEXT(_xlpm.n,"00")&amp;" DE 2026",_xlpm.h,'[1]SECOP II'!$A$1:$CQ$1,_xlpm.d,'[1]SECOP II'!$A$2:$CQ$94,_xlpm.r,INDEX(_xlpm.d,0,MATCH("Referencia del Contrato",_xlpm.h,0)),INDEX(_xlpm.d,MATCH(_xlpm.c,_xlpm.r,0),MATCH("Destino Gasto",_xlpm.h,0))),"")</f>
        <v>Funcionamiento</v>
      </c>
      <c r="S16" s="21" t="str">
        <f>IFERROR(_xlfn.LET(_xlpm.n,--_xlfn.TEXTBEFORE(_xlfn.TEXTAFTER(A16,"CONTRATO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https://community.secop.gov.co/Public/Tendering/OpportunityDetail/Index?noticeUID=CO1.NTC.9488102&amp;isFromPublicArea=True&amp;isModal=true&amp;asPopupView=true</v>
      </c>
      <c r="T16" s="22" t="str">
        <f>IFERROR(_xlfn.LET(_xlpm.h,'[1]SECOP II'!$A$1:$CQ$1,_xlpm.d,'[1]SECOP II'!$A$2:$CQ$94,_xlpm.r,INDEX(_xlpm.d,0,MATCH("Referencia del Contrato",_xlpm.h,0)),INDEX(_xlpm.d,MATCH("CONTRATO 15 DE 2026",_xlpm.r,0),MATCH("Estado Contrato",_xlpm.h,0))),"")</f>
        <v>cedido</v>
      </c>
      <c r="U16" s="10" t="str">
        <f>[1]Contratos!C16</f>
        <v>PN</v>
      </c>
      <c r="V16" s="10" t="str">
        <f>[1]Contratos!I16</f>
        <v>CONTROL INTERNO</v>
      </c>
      <c r="W16" s="23" t="str">
        <f>[1]Contratos!J16</f>
        <v>MARTHA VALENZUELA</v>
      </c>
      <c r="X16" s="24" cm="1">
        <f t="array" ref="X16">IFERROR(VLOOKUP(W16,[1]COORD!$A$27:$B$67, 2, FALSE),[1]COORD!$B$27:$B$67)</f>
        <v>52030345</v>
      </c>
      <c r="Y16" s="25" t="s">
        <v>35</v>
      </c>
      <c r="Z16" s="26">
        <v>37394973</v>
      </c>
      <c r="AA16" s="27" t="str" cm="1">
        <f t="array" ref="AA16">IF(Y16&lt;&gt;"NIT","N/A",IF(OR(Z16="",Z16="N/A"),"N/A",IF(ISERROR(VALUE(IF(ISNUMBER(FIND("-",TEXT(Z16,"@"))),LEFT(TEXT(Z16,"@"),FIND("-",TEXT(Z16,"@"))-1),TEXT(Z16,"@")))),"N/A",IF(MOD(SUMPRODUCT(VALUE(MID(TEXT(VALUE(IF(ISNUMBER(FIND("-",TEXT(Z16,"@"))),LEFT(TEXT(Z16,"@"),FIND("-",TEXT(Z16,"@"))-1),TEXT(Z16,"@"))),"000000000000000"),{15,14,13,12,11,10,9,8,7,6,5,4,3,2,1},1)),{3,7,13,17,19,23,29,37,41,43,47,53,59,67,71}),11)=0,0,IF(MOD(SUMPRODUCT(VALUE(MID(TEXT(VALUE(IF(ISNUMBER(FIND("-",TEXT(Z16,"@"))),LEFT(TEXT(Z16,"@"),FIND("-",TEXT(Z16,"@"))-1),TEXT(Z16,"@"))),"000000000000000"),{15,14,13,12,11,10,9,8,7,6,5,4,3,2,1},1)),{3,7,13,17,19,23,29,37,41,43,47,53,59,67,71}),11)=1,1,11-MOD(SUMPRODUCT(VALUE(MID(TEXT(VALUE(IF(ISNUMBER(FIND("-",TEXT(Z16,"@"))),LEFT(TEXT(Z16,"@"),FIND("-",TEXT(Z16,"@"))-1),TEXT(Z16,"@"))),"000000000000000"),{15,14,13,12,11,10,9,8,7,6,5,4,3,2,1},1)),{3,7,13,17,19,23,29,37,41,43,47,53,59,67,71}),11))))))</f>
        <v>N/A</v>
      </c>
      <c r="AB16" s="27">
        <v>93151607</v>
      </c>
      <c r="AC16" s="29" t="str">
        <f>[1]Contratos!Z16</f>
        <v>NO</v>
      </c>
      <c r="AD16" s="30">
        <f t="shared" si="3"/>
        <v>351</v>
      </c>
      <c r="AE16" s="31" t="s">
        <v>46</v>
      </c>
      <c r="AF16" s="31" t="str" cm="1">
        <f t="array" ref="AF16">IF(AG16="","",IFERROR(_xlfn.LET(_xlpm.x,INDEX([1]RP!$Z$2:$Z$706,MATCH(AG16&amp;"",[1]RP!$A$2:$A$706&amp;"",0)),IF(_xlpm.x="","",_xlpm.x)),""))</f>
        <v>3926</v>
      </c>
      <c r="AG16" s="31" cm="1">
        <f t="array" ref="AG16">IF(A16="","",IFERROR(_xlfn.LET(_xlpm.rp,[1]RP!$A$2:$A$706,_xlpm.dt,IFERROR(DATE(--LEFT([1]RP!$B$2:$B$706,4),--MID([1]RP!$B$2:$B$706,6,2),--MID([1]RP!$B$2:$B$706,9,2)),0),_xlpm.qid,UPPER(SUBSTITUTE(SUBSTITUTE(SUBSTITUTE(SUBSTITUTE([1]RP!$Q$2:$Q$706,".",""),"-","")," ",""),"O","0")),_xlpm.eid,UPPER(SUBSTITUTE(SUBSTITUTE(SUBSTITUTE(SUBSTITUTE(Z16,".",""),"-","")," ",""),"O","0")),_xlpm.qnm,UPPER(SUBSTITUTE(SUBSTITUTE(SUBSTITUTE(SUBSTITUTE(SUBSTITUTE([1]RP!$R$2:$R$706,".",""),"-","")," ",""),"Á","A"),"É","E")),_xlpm.enm,UPPER(SUBSTITUTE(SUBSTITUTE(SUBSTITUTE(SUBSTITUTE(SUBSTITUTE(B16,".",""),"-",""),"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16,"CONTRATO ")," DE")&amp;"/2026",_xlpm.dm,--ISNUMBER(SEARCH(_xlpm.num,_xlpm.sup)),_xlpm.dif,IF(_xlpm.ok,(1-_xlpm.dm)*1000000+IF(AND(ISNUMBER(M16),M16&gt;0),ABS(_xlpm.dt-M16),0),1E+99),_xlpm.md,MIN(_xlpm.dif),INDEX(_xlfn._xlws.FILTER(_xlpm.rp,(_xlpm.ok&gt;0)*(_xlpm.dif=_xlpm.md)),1)),""))</f>
        <v>3226</v>
      </c>
      <c r="AH16" s="32" cm="1">
        <f t="array" ref="AH16">IF(AF16="","",IFERROR(_xlfn.LET(_xlpm.x,INDEX([1]CDP!$B$2:$B$322,MATCH(AF16&amp;"",[1]CDP!$A$2:$A$322&amp;"",0)),IF(ISNUMBER(_xlpm.x),_xlpm.x,DATE(--LEFT(_xlpm.x,4),--MID(_xlpm.x,6,2),--MID(_xlpm.x,9,2)))),""))</f>
        <v>46030</v>
      </c>
    </row>
    <row r="17" spans="1:34" ht="61.5" customHeight="1" x14ac:dyDescent="0.35">
      <c r="A17" s="1" t="str">
        <f>[1]Contratos!A17</f>
        <v>CONTRATO 16 DE 2026</v>
      </c>
      <c r="B17" s="10" t="str">
        <f>[1]Contratos!B17</f>
        <v>SOPORTE LÓGICO -HUMANO</v>
      </c>
      <c r="C17" s="10" t="str">
        <f>[1]Contratos!E17</f>
        <v>Contratación directa</v>
      </c>
      <c r="D17" s="10" t="s">
        <v>56</v>
      </c>
      <c r="E17" s="11" t="str">
        <f>[1]Contratos!F17</f>
        <v xml:space="preserve">Renovación del contrato de servicios, mantenimiento, soporte y bolsa de horas para el sistema de nómina y gestión del recurso humano – “humano” de la CRC. </v>
      </c>
      <c r="F17" s="12">
        <v>68532299</v>
      </c>
      <c r="G17" s="13">
        <f>[1]Contratos!G17</f>
        <v>68532299</v>
      </c>
      <c r="H17" s="14" t="str">
        <f>IFERROR(VLOOKUP(A17, [1]Otrosí!A:F, 6, FALSE), "0")</f>
        <v>0</v>
      </c>
      <c r="I17" s="13">
        <f t="shared" si="0"/>
        <v>68532299</v>
      </c>
      <c r="J17" s="15">
        <f>IFERROR(_xlfn.LET(_xlpm.x,_xlfn.LET(_xlpm.n,--_xlfn.TEXTBEFORE(_xlfn.TEXTAFTER(A17,"CONTRATO ")," DE"),_xlpm.c,"CONTRATO "&amp;TEXT(_xlpm.n,"00")&amp;" DE 2026",_xlpm.h,'[1]SECOP II'!$A$1:$CQ$1,_xlpm.d,'[1]SECOP II'!$A$2:$CQ$94,_xlpm.r,INDEX(_xlpm.d,0,MATCH("Referencia del Contrato",_xlpm.h,0)),INDEX(_xlpm.d,MATCH(_xlpm.c,_xlpm.r,0),MATCH("Valor Pagado",_xlpm.h,0))),_xlfn.NUMBERVALUE(SUBSTITUTE(_xlpm.x,"$",""),".",",")),"")</f>
        <v>60589559.990000002</v>
      </c>
      <c r="K17" s="16">
        <f t="shared" si="1"/>
        <v>7942739.0099999979</v>
      </c>
      <c r="L17" s="17">
        <f t="shared" si="2"/>
        <v>0.88410225359578265</v>
      </c>
      <c r="M17" s="18">
        <f>[1]Contratos!O17</f>
        <v>46037</v>
      </c>
      <c r="N17" s="18">
        <f>[1]Contratos!P17</f>
        <v>46038</v>
      </c>
      <c r="O17" s="18">
        <f>[1]Contratos!Q17</f>
        <v>46387</v>
      </c>
      <c r="P17" s="18" t="str">
        <f>IFERROR(VLOOKUP(A17, [1]Otrosí!A:L, 7, FALSE), "N/A")</f>
        <v>N/A</v>
      </c>
      <c r="Q17" s="19" t="str">
        <f>IFERROR(_xlfn.LET(_xlpm.h,'[1]SECOP II'!$A$1:$CQ$1,_xlpm.d,'[1]SECOP II'!$A$2:$CQ$94,_xlpm.r,INDEX(_xlpm.d,0,MATCH("Referencia del Contrato",_xlpm.h,0)),INDEX(_xlpm.d,MATCH("CONTRATO 16 DE 2026",_xlpm.r,0),MATCH("Tipo de Contrato",_xlpm.h,0))),"")</f>
        <v>Prestación de servicios</v>
      </c>
      <c r="R17" s="20" t="str">
        <f>IFERROR(_xlfn.LET(_xlpm.n,--_xlfn.TEXTBEFORE(_xlfn.TEXTAFTER(A17,"CONTRATO ")," DE"),_xlpm.c,"CONTRATO "&amp;TEXT(_xlpm.n,"00")&amp;" DE 2026",_xlpm.h,'[1]SECOP II'!$A$1:$CQ$1,_xlpm.d,'[1]SECOP II'!$A$2:$CQ$94,_xlpm.r,INDEX(_xlpm.d,0,MATCH("Referencia del Contrato",_xlpm.h,0)),INDEX(_xlpm.d,MATCH(_xlpm.c,_xlpm.r,0),MATCH("Destino Gasto",_xlpm.h,0))),"")</f>
        <v>Inversión</v>
      </c>
      <c r="S17" s="21" t="str">
        <f>IFERROR(_xlfn.LET(_xlpm.n,--_xlfn.TEXTBEFORE(_xlfn.TEXTAFTER(A17,"CONTRATO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https://community.secop.gov.co/Public/Tendering/OpportunityDetail/Index?noticeUID=CO1.NTC.9487918&amp;isFromPublicArea=True&amp;isModal=true&amp;asPopupView=true</v>
      </c>
      <c r="T17" s="22" t="str">
        <f>IFERROR(_xlfn.LET(_xlpm.h,'[1]SECOP II'!$A$1:$CQ$1,_xlpm.d,'[1]SECOP II'!$A$2:$CQ$94,_xlpm.r,INDEX(_xlpm.d,0,MATCH("Referencia del Contrato",_xlpm.h,0)),INDEX(_xlpm.d,MATCH("CONTRATO 16 DE 2026",_xlpm.r,0),MATCH("Estado Contrato",_xlpm.h,0))),"")</f>
        <v>En ejecución</v>
      </c>
      <c r="U17" s="10" t="str">
        <f>[1]Contratos!C17</f>
        <v>PJ</v>
      </c>
      <c r="V17" s="10" t="str">
        <f>[1]Contratos!I17</f>
        <v>GESTIÓN ADM. Y FIN</v>
      </c>
      <c r="W17" s="23" t="str">
        <f>[1]Contratos!J17</f>
        <v>DIANA WILCHES</v>
      </c>
      <c r="X17" s="24" cm="1">
        <f t="array" ref="X17">IFERROR(VLOOKUP(W17,[1]COORD!$A$27:$B$67, 2, FALSE),[1]COORD!$B$27:$B$67)</f>
        <v>40049758</v>
      </c>
      <c r="Y17" s="25" t="s">
        <v>57</v>
      </c>
      <c r="Z17" s="26">
        <v>800187672</v>
      </c>
      <c r="AA17" s="27" cm="1">
        <f t="array" ref="AA17">IF(Y17&lt;&gt;"NIT","N/A",IF(OR(Z17="",Z17="N/A"),"N/A",IF(ISERROR(VALUE(IF(ISNUMBER(FIND("-",TEXT(Z17,"@"))),LEFT(TEXT(Z17,"@"),FIND("-",TEXT(Z17,"@"))-1),TEXT(Z17,"@")))),"N/A",IF(MOD(SUMPRODUCT(VALUE(MID(TEXT(VALUE(IF(ISNUMBER(FIND("-",TEXT(Z17,"@"))),LEFT(TEXT(Z17,"@"),FIND("-",TEXT(Z17,"@"))-1),TEXT(Z17,"@"))),"000000000000000"),{15,14,13,12,11,10,9,8,7,6,5,4,3,2,1},1)),{3,7,13,17,19,23,29,37,41,43,47,53,59,67,71}),11)=0,0,IF(MOD(SUMPRODUCT(VALUE(MID(TEXT(VALUE(IF(ISNUMBER(FIND("-",TEXT(Z17,"@"))),LEFT(TEXT(Z17,"@"),FIND("-",TEXT(Z17,"@"))-1),TEXT(Z17,"@"))),"000000000000000"),{15,14,13,12,11,10,9,8,7,6,5,4,3,2,1},1)),{3,7,13,17,19,23,29,37,41,43,47,53,59,67,71}),11)=1,1,11-MOD(SUMPRODUCT(VALUE(MID(TEXT(VALUE(IF(ISNUMBER(FIND("-",TEXT(Z17,"@"))),LEFT(TEXT(Z17,"@"),FIND("-",TEXT(Z17,"@"))-1),TEXT(Z17,"@"))),"000000000000000"),{15,14,13,12,11,10,9,8,7,6,5,4,3,2,1},1)),{3,7,13,17,19,23,29,37,41,43,47,53,59,67,71}),11))))))</f>
        <v>4</v>
      </c>
      <c r="AB17" s="27">
        <v>81112204</v>
      </c>
      <c r="AC17" s="29" t="str">
        <f>[1]Contratos!Z17</f>
        <v>N/A</v>
      </c>
      <c r="AD17" s="30">
        <f t="shared" si="3"/>
        <v>350</v>
      </c>
      <c r="AE17" s="31" t="s">
        <v>58</v>
      </c>
      <c r="AF17" s="31" t="str" cm="1">
        <f t="array" ref="AF17">IF(AG17="","",IFERROR(_xlfn.LET(_xlpm.x,INDEX([1]RP!$Z$2:$Z$706,MATCH(AG17&amp;"",[1]RP!$A$2:$A$706&amp;"",0)),IF(_xlpm.x="","",_xlpm.x)),""))</f>
        <v>1726</v>
      </c>
      <c r="AG17" s="31" cm="1">
        <f t="array" ref="AG17">IF(A17="","",IFERROR(_xlfn.LET(_xlpm.rp,[1]RP!$A$2:$A$706,_xlpm.dt,IFERROR(DATE(--LEFT([1]RP!$B$2:$B$706,4),--MID([1]RP!$B$2:$B$706,6,2),--MID([1]RP!$B$2:$B$706,9,2)),0),_xlpm.qid,UPPER(SUBSTITUTE(SUBSTITUTE(SUBSTITUTE(SUBSTITUTE([1]RP!$Q$2:$Q$706,".",""),"-","")," ",""),"O","0")),_xlpm.eid,UPPER(SUBSTITUTE(SUBSTITUTE(SUBSTITUTE(SUBSTITUTE(Z17,".",""),"-","")," ",""),"O","0")),_xlpm.qnm,UPPER(SUBSTITUTE(SUBSTITUTE(SUBSTITUTE(SUBSTITUTE(SUBSTITUTE([1]RP!$R$2:$R$706,".",""),"-","")," ",""),"Á","A"),"É","E")),_xlpm.enm,UPPER(SUBSTITUTE(SUBSTITUTE(SUBSTITUTE(SUBSTITUTE(SUBSTITUTE(B17,".",""),"-",""),"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17,"CONTRATO ")," DE")&amp;"/2026",_xlpm.dm,--ISNUMBER(SEARCH(_xlpm.num,_xlpm.sup)),_xlpm.dif,IF(_xlpm.ok,(1-_xlpm.dm)*1000000+IF(AND(ISNUMBER(M17),M17&gt;0),ABS(_xlpm.dt-M17),0),1E+99),_xlpm.md,MIN(_xlpm.dif),INDEX(_xlfn._xlws.FILTER(_xlpm.rp,(_xlpm.ok&gt;0)*(_xlpm.dif=_xlpm.md)),1)),""))</f>
        <v>4026</v>
      </c>
      <c r="AH17" s="32" cm="1">
        <f t="array" ref="AH17">IF(AF17="","",IFERROR(_xlfn.LET(_xlpm.x,INDEX([1]CDP!$B$2:$B$322,MATCH(AF17&amp;"",[1]CDP!$A$2:$A$322&amp;"",0)),IF(ISNUMBER(_xlpm.x),_xlpm.x,DATE(--LEFT(_xlpm.x,4),--MID(_xlpm.x,6,2),--MID(_xlpm.x,9,2)))),""))</f>
        <v>46029</v>
      </c>
    </row>
    <row r="18" spans="1:34" ht="61.5" customHeight="1" x14ac:dyDescent="0.35">
      <c r="A18" s="1" t="str">
        <f>[1]Contratos!A18</f>
        <v>CONTRATO 17 DE 2026</v>
      </c>
      <c r="B18" s="10" t="s">
        <v>59</v>
      </c>
      <c r="C18" s="10" t="str">
        <f>[1]Contratos!E18</f>
        <v>Prestación de servicios profesionales o Apoyo a la gestión</v>
      </c>
      <c r="D18" s="10" t="s">
        <v>60</v>
      </c>
      <c r="E18" s="11" t="str">
        <f>[1]Contratos!F18</f>
        <v>Prestar servicios de interpretación en Lengua de Señas Colombiana durante el año 2026, los cuales incluirán la traducción de contenidos audiovisuales institucionales, la interpretación en espacios y actividades comunicacionales, así como en eventos oficiales organizados por la Comisión de Regulación de Comunicaciones (CRC). El contratista trabajará de manera articulada con la Coordinación de Relaciones con Grupos de Valor, dependencia encargada de liderar la estrategia de comunicaciones de la entidad durante la vigencia 2026</v>
      </c>
      <c r="F18" s="12">
        <v>42274496</v>
      </c>
      <c r="G18" s="13">
        <f>[1]Contratos!G18</f>
        <v>42274496</v>
      </c>
      <c r="H18" s="14" t="str">
        <f>IFERROR(VLOOKUP(A18, [1]Otrosí!A:F, 6, FALSE), "0")</f>
        <v>0</v>
      </c>
      <c r="I18" s="13">
        <f t="shared" si="0"/>
        <v>42274496</v>
      </c>
      <c r="J18" s="15">
        <f>IFERROR(_xlfn.LET(_xlpm.x,_xlfn.LET(_xlpm.n,--_xlfn.TEXTBEFORE(_xlfn.TEXTAFTER(A18,"CONTRATO ")," DE"),_xlpm.c,"CONTRATO "&amp;TEXT(_xlpm.n,"00")&amp;" DE 2026",_xlpm.h,'[1]SECOP II'!$A$1:$CQ$1,_xlpm.d,'[1]SECOP II'!$A$2:$CQ$94,_xlpm.r,INDEX(_xlpm.d,0,MATCH("Referencia del Contrato",_xlpm.h,0)),INDEX(_xlpm.d,MATCH(_xlpm.c,_xlpm.r,0),MATCH("Valor Pagado",_xlpm.h,0))),_xlfn.NUMBERVALUE(SUBSTITUTE(_xlpm.x,"$",""),".",",")),"")</f>
        <v>30745088</v>
      </c>
      <c r="K18" s="16">
        <f t="shared" si="1"/>
        <v>11529408</v>
      </c>
      <c r="L18" s="17">
        <f t="shared" si="2"/>
        <v>0.72727272727272729</v>
      </c>
      <c r="M18" s="18">
        <f>[1]Contratos!O18</f>
        <v>46037</v>
      </c>
      <c r="N18" s="18">
        <f>[1]Contratos!P18</f>
        <v>46050</v>
      </c>
      <c r="O18" s="18">
        <f>[1]Contratos!Q18</f>
        <v>46387</v>
      </c>
      <c r="P18" s="18" t="str">
        <f>IFERROR(VLOOKUP(A18, [1]Otrosí!A:L, 7, FALSE), "N/A")</f>
        <v>N/A</v>
      </c>
      <c r="Q18" s="19" t="str">
        <f>IFERROR(_xlfn.LET(_xlpm.h,'[1]SECOP II'!$A$1:$CQ$1,_xlpm.d,'[1]SECOP II'!$A$2:$CQ$94,_xlpm.r,INDEX(_xlpm.d,0,MATCH("Referencia del Contrato",_xlpm.h,0)),INDEX(_xlpm.d,MATCH("CONTRATO 17 DE 2026",_xlpm.r,0),MATCH("Tipo de Contrato",_xlpm.h,0))),"")</f>
        <v>Prestación de servicios</v>
      </c>
      <c r="R18" s="20" t="str">
        <f>IFERROR(_xlfn.LET(_xlpm.n,--_xlfn.TEXTBEFORE(_xlfn.TEXTAFTER(A18,"CONTRATO ")," DE"),_xlpm.c,"CONTRATO "&amp;TEXT(_xlpm.n,"00")&amp;" DE 2026",_xlpm.h,'[1]SECOP II'!$A$1:$CQ$1,_xlpm.d,'[1]SECOP II'!$A$2:$CQ$94,_xlpm.r,INDEX(_xlpm.d,0,MATCH("Referencia del Contrato",_xlpm.h,0)),INDEX(_xlpm.d,MATCH(_xlpm.c,_xlpm.r,0),MATCH("Destino Gasto",_xlpm.h,0))),"")</f>
        <v>Inversión</v>
      </c>
      <c r="S18" s="21" t="str">
        <f>IFERROR(_xlfn.LET(_xlpm.n,--_xlfn.TEXTBEFORE(_xlfn.TEXTAFTER(A18,"CONTRATO ")," DE"),_xlpm.c,"CONTRATO "&amp;TEXT(_xlpm.n,"00")&amp;" DE 2026",_xlpm.h,'[1]SECOP II'!$A$1:$CQ$1,_xlpm.d,'[1]SECOP II'!$A$2:$CQ$94,_xlpm.r,INDEX(_xlpm.d,0,MATCH("Referencia del Contrato",_xlpm.h,0)),INDEX(_xlpm.d,MATCH(_xlpm.c,_xlpm.r,0),MATCH("URLProceso",_xlpm.h,0))),"")</f>
        <v>https://community.secop.gov.co/Public/Tendering/OpportunityDetail/Index?noticeUID=CO1.NTC.9531296&amp;isFromPublicArea=True&amp;isModal=true&amp;asPopupView=true</v>
      </c>
      <c r="T18" s="22" t="str">
        <f>IFERROR(_xlfn.LET(_xlpm.h,'[1]SECOP II'!$A$1:$CQ$1,_xlpm.d,'[1]SECOP II'!$A$2:$CQ$94,_xlpm.r,INDEX(_xlpm.d,0,MATCH("Referencia del Contrato",_xlpm.h,0)),INDEX(_xlpm.d,MATCH("CONTRATO 17 DE 2026",_xlpm.r,0),MATCH("Estado Contrato",_xlpm.h,0))),"")</f>
        <v>En ejecución</v>
      </c>
      <c r="U18" s="10" t="str">
        <f>[1]Contratos!C18</f>
        <v>PN</v>
      </c>
      <c r="V18" s="10" t="str">
        <f>[1]Contratos!I18</f>
        <v>RELACIONES CON GRUPOS DE VALOR</v>
      </c>
      <c r="W18" s="23" t="str">
        <f>[1]Contratos!J18</f>
        <v>MARIANA SARMIENTO</v>
      </c>
      <c r="X18" s="24" cm="1">
        <f t="array" ref="X18">IFERROR(VLOOKUP(W18,[1]COORD!$A$27:$B$67, 2, FALSE),[1]COORD!$B$27:$B$67)</f>
        <v>52862292</v>
      </c>
      <c r="Y18" s="25" t="s">
        <v>35</v>
      </c>
      <c r="Z18" s="26">
        <v>1022359012</v>
      </c>
      <c r="AA18" s="27" t="str" cm="1">
        <f t="array" ref="AA18">IF(Y18&lt;&gt;"NIT","N/A",IF(OR(Z18="",Z18="N/A"),"N/A",IF(ISERROR(VALUE(IF(ISNUMBER(FIND("-",TEXT(Z18,"@"))),LEFT(TEXT(Z18,"@"),FIND("-",TEXT(Z18,"@"))-1),TEXT(Z18,"@")))),"N/A",IF(MOD(SUMPRODUCT(VALUE(MID(TEXT(VALUE(IF(ISNUMBER(FIND("-",TEXT(Z18,"@"))),LEFT(TEXT(Z18,"@"),FIND("-",TEXT(Z18,"@"))-1),TEXT(Z18,"@"))),"000000000000000"),{15,14,13,12,11,10,9,8,7,6,5,4,3,2,1},1)),{3,7,13,17,19,23,29,37,41,43,47,53,59,67,71}),11)=0,0,IF(MOD(SUMPRODUCT(VALUE(MID(TEXT(VALUE(IF(ISNUMBER(FIND("-",TEXT(Z18,"@"))),LEFT(TEXT(Z18,"@"),FIND("-",TEXT(Z18,"@"))-1),TEXT(Z18,"@"))),"000000000000000"),{15,14,13,12,11,10,9,8,7,6,5,4,3,2,1},1)),{3,7,13,17,19,23,29,37,41,43,47,53,59,67,71}),11)=1,1,11-MOD(SUMPRODUCT(VALUE(MID(TEXT(VALUE(IF(ISNUMBER(FIND("-",TEXT(Z18,"@"))),LEFT(TEXT(Z18,"@"),FIND("-",TEXT(Z18,"@"))-1),TEXT(Z18,"@"))),"000000000000000"),{15,14,13,12,11,10,9,8,7,6,5,4,3,2,1},1)),{3,7,13,17,19,23,29,37,41,43,47,53,59,67,71}),11))))))</f>
        <v>N/A</v>
      </c>
      <c r="AB18" s="27">
        <v>90121702</v>
      </c>
      <c r="AC18" s="29" t="str">
        <f>[1]Contratos!Z18</f>
        <v>NO</v>
      </c>
      <c r="AD18" s="30">
        <f t="shared" si="3"/>
        <v>350</v>
      </c>
      <c r="AE18" s="31" t="s">
        <v>37</v>
      </c>
      <c r="AF18" s="31" t="str" cm="1">
        <f t="array" ref="AF18">IF(AG18="","",IFERROR(_xlfn.LET(_xlpm.x,INDEX([1]RP!$Z$2:$Z$706,MATCH(AG18&amp;"",[1]RP!$A$2:$A$706&amp;"",0)),IF(_xlpm.x="","",_xlpm.x)),""))</f>
        <v>2526</v>
      </c>
      <c r="AG18" s="31" cm="1">
        <f t="array" ref="AG18">IF(A18="","",IFERROR(_xlfn.LET(_xlpm.rp,[1]RP!$A$2:$A$706,_xlpm.dt,IFERROR(DATE(--LEFT([1]RP!$B$2:$B$706,4),--MID([1]RP!$B$2:$B$706,6,2),--MID([1]RP!$B$2:$B$706,9,2)),0),_xlpm.qid,UPPER(SUBSTITUTE(SUBSTITUTE(SUBSTITUTE(SUBSTITUTE([1]RP!$Q$2:$Q$706,".",""),"-","")," ",""),"O","0")),_xlpm.eid,UPPER(SUBSTITUTE(SUBSTITUTE(SUBSTITUTE(SUBSTITUTE(Z18,".",""),"-","")," ",""),"O","0")),_xlpm.qnm,UPPER(SUBSTITUTE(SUBSTITUTE(SUBSTITUTE(SUBSTITUTE(SUBSTITUTE([1]RP!$R$2:$R$706,".",""),"-","")," ",""),"Á","A"),"É","E")),_xlpm.enm,UPPER(SUBSTITUTE(SUBSTITUTE(SUBSTITUTE(SUBSTITUTE(SUBSTITUTE(B18,".",""),"-",""),"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18,"CONTRATO ")," DE")&amp;"/2026",_xlpm.dm,--ISNUMBER(SEARCH(_xlpm.num,_xlpm.sup)),_xlpm.dif,IF(_xlpm.ok,(1-_xlpm.dm)*1000000+IF(AND(ISNUMBER(M18),M18&gt;0),ABS(_xlpm.dt-M18),0),1E+99),_xlpm.md,MIN(_xlpm.dif),INDEX(_xlfn._xlws.FILTER(_xlpm.rp,(_xlpm.ok&gt;0)*(_xlpm.dif=_xlpm.md)),1)),""))</f>
        <v>5926</v>
      </c>
      <c r="AH18" s="32" cm="1">
        <f t="array" ref="AH18">IF(AF18="","",IFERROR(_xlfn.LET(_xlpm.x,INDEX([1]CDP!$B$2:$B$322,MATCH(AF18&amp;"",[1]CDP!$A$2:$A$322&amp;"",0)),IF(ISNUMBER(_xlpm.x),_xlpm.x,DATE(--LEFT(_xlpm.x,4),--MID(_xlpm.x,6,2),--MID(_xlpm.x,9,2)))),""))</f>
        <v>46029</v>
      </c>
    </row>
    <row r="19" spans="1:34" ht="61.5" customHeight="1" x14ac:dyDescent="0.35">
      <c r="A19" s="1" t="str">
        <f>[1]Contratos!A19</f>
        <v>CONTRATO 18 DE 2026</v>
      </c>
      <c r="B19" s="10" t="str">
        <f>[1]Contratos!B19</f>
        <v>JHON RICHARD SÁNCHEZ CASTIBLANCO</v>
      </c>
      <c r="C19" s="10" t="str">
        <f>[1]Contratos!E19</f>
        <v>Prestación de servicios profesionales o Apoyo a la gestión</v>
      </c>
      <c r="D19" s="10" t="s">
        <v>61</v>
      </c>
      <c r="E19" s="11" t="str">
        <f>[1]Contratos!F19</f>
        <v>Prestación de servicios profesionales para brindar apoyo en el desarrollo de actividades asociadas al consumo crítico de contenidos audiovisuales, la generación de entornos audiovisuales seguros, la protección de los derechos de la niñez y la familia en los contenidos audiovisuales, y la prevención de la desinformación, mediante la formulación y ejecución de proyectos regulatorios, de estrategias de difusión y pedagogía regulatoria orientadas al sector y a la ciudadanía, en el marco de los acciones contemplados dentro de la Agenda Regulatoria y el Plan de Acción 2026.</v>
      </c>
      <c r="F19" s="12">
        <v>161177100</v>
      </c>
      <c r="G19" s="13">
        <f>[1]Contratos!G19</f>
        <v>161177100</v>
      </c>
      <c r="H19" s="14" t="str">
        <f>IFERROR(VLOOKUP(A19, [1]Otrosí!A:F, 6, FALSE), "0")</f>
        <v>0</v>
      </c>
      <c r="I19" s="13">
        <f t="shared" si="0"/>
        <v>161177100</v>
      </c>
      <c r="J19" s="15">
        <f>IFERROR(_xlfn.LET(_xlpm.x,_xlfn.LET(_xlpm.n,--_xlfn.TEXTBEFORE(_xlfn.TEXTAFTER(A19,"CONTRATO ")," DE"),_xlpm.c,"CONTRATO "&amp;TEXT(_xlpm.n,"00")&amp;" DE 2026",_xlpm.h,'[1]SECOP II'!$A$1:$CQ$1,_xlpm.d,'[1]SECOP II'!$A$2:$CQ$94,_xlpm.r,INDEX(_xlpm.d,0,MATCH("Referencia del Contrato",_xlpm.h,0)),INDEX(_xlpm.d,MATCH(_xlpm.c,_xlpm.r,0),MATCH("Valor Pagado",_xlpm.h,0))),_xlfn.NUMBERVALUE(SUBSTITUTE(_xlpm.x,"$",""),".",",")),"")</f>
        <v>119130900</v>
      </c>
      <c r="K19" s="16">
        <f t="shared" si="1"/>
        <v>42046200</v>
      </c>
      <c r="L19" s="17">
        <f t="shared" si="2"/>
        <v>0.73913043478260865</v>
      </c>
      <c r="M19" s="18">
        <f>[1]Contratos!O19</f>
        <v>46036</v>
      </c>
      <c r="N19" s="18">
        <f>[1]Contratos!P19</f>
        <v>46038</v>
      </c>
      <c r="O19" s="18">
        <f>[1]Contratos!Q19</f>
        <v>46387</v>
      </c>
      <c r="P19" s="18" t="str">
        <f>IFERROR(VLOOKUP(A19, [1]Otrosí!A:L, 7, FALSE), "N/A")</f>
        <v>N/A</v>
      </c>
      <c r="Q19" s="19" t="str">
        <f>IFERROR(_xlfn.LET(_xlpm.h,'[1]SECOP II'!$A$1:$CQ$1,_xlpm.d,'[1]SECOP II'!$A$2:$CQ$94,_xlpm.r,INDEX(_xlpm.d,0,MATCH("Referencia del Contrato",_xlpm.h,0)),INDEX(_xlpm.d,MATCH("CONTRATO 18 DE 2026",_xlpm.r,0),MATCH("Tipo de Contrato",_xlpm.h,0))),"")</f>
        <v>Prestación de servicios</v>
      </c>
      <c r="R19" s="20" t="str">
        <f>IFERROR(_xlfn.LET(_xlpm.n,--_xlfn.TEXTBEFORE(_xlfn.TEXTAFTER(A19,"CONTRATO ")," DE"),_xlpm.c,"CONTRATO "&amp;TEXT(_xlpm.n,"00")&amp;" DE 2026",_xlpm.h,'[1]SECOP II'!$A$1:$CQ$1,_xlpm.d,'[1]SECOP II'!$A$2:$CQ$94,_xlpm.r,INDEX(_xlpm.d,0,MATCH("Referencia del Contrato",_xlpm.h,0)),INDEX(_xlpm.d,MATCH(_xlpm.c,_xlpm.r,0),MATCH("Destino Gasto",_xlpm.h,0))),"")</f>
        <v>Inversión</v>
      </c>
      <c r="S19" s="21" t="str">
        <f>IFERROR(_xlfn.LET(_xlpm.n,--_xlfn.TEXTBEFORE(_xlfn.TEXTAFTER(A19,"CONTRATO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https://community.secop.gov.co/Public/Tendering/OpportunityDetail/Index?noticeUID=CO1.NTC.9489223&amp;isFromPublicArea=True&amp;isModal=true&amp;asPopupView=true</v>
      </c>
      <c r="T19" s="22" t="str">
        <f>IFERROR(_xlfn.LET(_xlpm.h,'[1]SECOP II'!$A$1:$CQ$1,_xlpm.d,'[1]SECOP II'!$A$2:$CQ$94,_xlpm.r,INDEX(_xlpm.d,0,MATCH("Referencia del Contrato",_xlpm.h,0)),INDEX(_xlpm.d,MATCH("CONTRATO 18 DE 2026",_xlpm.r,0),MATCH("Estado Contrato",_xlpm.h,0))),"")</f>
        <v>En ejecución</v>
      </c>
      <c r="U19" s="10" t="str">
        <f>[1]Contratos!C19</f>
        <v>PN</v>
      </c>
      <c r="V19" s="10" t="str">
        <f>[1]Contratos!I19</f>
        <v>PEDAGOGÍA REGULATORIA</v>
      </c>
      <c r="W19" s="23" t="str">
        <f>[1]Contratos!J19</f>
        <v>RICARDO RAMÍREZ</v>
      </c>
      <c r="X19" s="24" cm="1">
        <f t="array" ref="X19">IFERROR(VLOOKUP(W19,[1]COORD!$A$27:$B$67, 2, FALSE),[1]COORD!$B$27:$B$67)</f>
        <v>79444533</v>
      </c>
      <c r="Y19" s="25" t="s">
        <v>35</v>
      </c>
      <c r="Z19" s="26">
        <v>79633610</v>
      </c>
      <c r="AA19" s="27" t="str" cm="1">
        <f t="array" ref="AA19">IF(Y19&lt;&gt;"NIT","N/A",IF(OR(Z19="",Z19="N/A"),"N/A",IF(ISERROR(VALUE(IF(ISNUMBER(FIND("-",TEXT(Z19,"@"))),LEFT(TEXT(Z19,"@"),FIND("-",TEXT(Z19,"@"))-1),TEXT(Z19,"@")))),"N/A",IF(MOD(SUMPRODUCT(VALUE(MID(TEXT(VALUE(IF(ISNUMBER(FIND("-",TEXT(Z19,"@"))),LEFT(TEXT(Z19,"@"),FIND("-",TEXT(Z19,"@"))-1),TEXT(Z19,"@"))),"000000000000000"),{15,14,13,12,11,10,9,8,7,6,5,4,3,2,1},1)),{3,7,13,17,19,23,29,37,41,43,47,53,59,67,71}),11)=0,0,IF(MOD(SUMPRODUCT(VALUE(MID(TEXT(VALUE(IF(ISNUMBER(FIND("-",TEXT(Z19,"@"))),LEFT(TEXT(Z19,"@"),FIND("-",TEXT(Z19,"@"))-1),TEXT(Z19,"@"))),"000000000000000"),{15,14,13,12,11,10,9,8,7,6,5,4,3,2,1},1)),{3,7,13,17,19,23,29,37,41,43,47,53,59,67,71}),11)=1,1,11-MOD(SUMPRODUCT(VALUE(MID(TEXT(VALUE(IF(ISNUMBER(FIND("-",TEXT(Z19,"@"))),LEFT(TEXT(Z19,"@"),FIND("-",TEXT(Z19,"@"))-1),TEXT(Z19,"@"))),"000000000000000"),{15,14,13,12,11,10,9,8,7,6,5,4,3,2,1},1)),{3,7,13,17,19,23,29,37,41,43,47,53,59,67,71}),11))))))</f>
        <v>N/A</v>
      </c>
      <c r="AB19" s="27">
        <v>86101701</v>
      </c>
      <c r="AC19" s="29" t="str">
        <f>[1]Contratos!Z19</f>
        <v>NO</v>
      </c>
      <c r="AD19" s="30">
        <f t="shared" si="3"/>
        <v>351</v>
      </c>
      <c r="AE19" s="31" t="s">
        <v>37</v>
      </c>
      <c r="AF19" s="31" t="str" cm="1">
        <f t="array" ref="AF19">IF(AG19="","",IFERROR(_xlfn.LET(_xlpm.x,INDEX([1]RP!$Z$2:$Z$706,MATCH(AG19&amp;"",[1]RP!$A$2:$A$706&amp;"",0)),IF(_xlpm.x="","",_xlpm.x)),""))</f>
        <v>3226</v>
      </c>
      <c r="AG19" s="31" cm="1">
        <f t="array" ref="AG19">IF(A19="","",IFERROR(_xlfn.LET(_xlpm.rp,[1]RP!$A$2:$A$706,_xlpm.dt,IFERROR(DATE(--LEFT([1]RP!$B$2:$B$706,4),--MID([1]RP!$B$2:$B$706,6,2),--MID([1]RP!$B$2:$B$706,9,2)),0),_xlpm.qid,UPPER(SUBSTITUTE(SUBSTITUTE(SUBSTITUTE(SUBSTITUTE([1]RP!$Q$2:$Q$706,".",""),"-","")," ",""),"O","0")),_xlpm.eid,UPPER(SUBSTITUTE(SUBSTITUTE(SUBSTITUTE(SUBSTITUTE(Z19,".",""),"-","")," ",""),"O","0")),_xlpm.qnm,UPPER(SUBSTITUTE(SUBSTITUTE(SUBSTITUTE(SUBSTITUTE(SUBSTITUTE([1]RP!$R$2:$R$706,".",""),"-","")," ",""),"Á","A"),"É","E")),_xlpm.enm,UPPER(SUBSTITUTE(SUBSTITUTE(SUBSTITUTE(SUBSTITUTE(SUBSTITUTE(B19,".",""),"-",""),"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19,"CONTRATO ")," DE")&amp;"/2026",_xlpm.dm,--ISNUMBER(SEARCH(_xlpm.num,_xlpm.sup)),_xlpm.dif,IF(_xlpm.ok,(1-_xlpm.dm)*1000000+IF(AND(ISNUMBER(M19),M19&gt;0),ABS(_xlpm.dt-M19),0),1E+99),_xlpm.md,MIN(_xlpm.dif),INDEX(_xlfn._xlws.FILTER(_xlpm.rp,(_xlpm.ok&gt;0)*(_xlpm.dif=_xlpm.md)),1)),""))</f>
        <v>2726</v>
      </c>
      <c r="AH19" s="32" cm="1">
        <f t="array" ref="AH19">IF(AF19="","",IFERROR(_xlfn.LET(_xlpm.x,INDEX([1]CDP!$B$2:$B$322,MATCH(AF19&amp;"",[1]CDP!$A$2:$A$322&amp;"",0)),IF(ISNUMBER(_xlpm.x),_xlpm.x,DATE(--LEFT(_xlpm.x,4),--MID(_xlpm.x,6,2),--MID(_xlpm.x,9,2)))),""))</f>
        <v>46030</v>
      </c>
    </row>
    <row r="20" spans="1:34" ht="61.5" customHeight="1" x14ac:dyDescent="0.35">
      <c r="A20" s="1" t="str">
        <f>[1]Contratos!A20</f>
        <v>CONTRATO 19 DE 2026</v>
      </c>
      <c r="B20" s="10" t="str">
        <f>[1]Contratos!B20</f>
        <v>JULIO CÉSAR MENDOZA GARCÍA</v>
      </c>
      <c r="C20" s="10" t="str">
        <f>[1]Contratos!E20</f>
        <v>Prestación de servicios profesionales o Apoyo a la gestión</v>
      </c>
      <c r="D20" s="10" t="s">
        <v>62</v>
      </c>
      <c r="E20" s="11" t="str">
        <f>[1]Contratos!F20</f>
        <v>Prestación de servicios profesionales para brindar apoyo en el desarrollo de actividades de promoción del pluralismo informativo, la protección de los derechos de las audiencias, la integridad de la información y la alfabetización mediática informacional, a través la participación y el impulso de iniciativas de cooperación técnica, y la formulación y ejecución de proyectos regulatorios y no regulatorios contemplados dentro de la Agenda Regulatoria y el Plan de Acción 2026.</v>
      </c>
      <c r="F20" s="12">
        <v>161177100</v>
      </c>
      <c r="G20" s="13">
        <f>[1]Contratos!G20</f>
        <v>161177100</v>
      </c>
      <c r="H20" s="14" t="str">
        <f>IFERROR(VLOOKUP(A20, [1]Otrosí!A:F, 6, FALSE), "0")</f>
        <v>0</v>
      </c>
      <c r="I20" s="13">
        <f t="shared" si="0"/>
        <v>161177100</v>
      </c>
      <c r="J20" s="15">
        <f>IFERROR(_xlfn.LET(_xlpm.x,_xlfn.LET(_xlpm.n,--_xlfn.TEXTBEFORE(_xlfn.TEXTAFTER(A20,"CONTRATO ")," DE"),_xlpm.c,"CONTRATO "&amp;TEXT(_xlpm.n,"00")&amp;" DE 2026",_xlpm.h,'[1]SECOP II'!$A$1:$CQ$1,_xlpm.d,'[1]SECOP II'!$A$2:$CQ$94,_xlpm.r,INDEX(_xlpm.d,0,MATCH("Referencia del Contrato",_xlpm.h,0)),INDEX(_xlpm.d,MATCH(_xlpm.c,_xlpm.r,0),MATCH("Valor Pagado",_xlpm.h,0))),_xlfn.NUMBERVALUE(SUBSTITUTE(_xlpm.x,"$",""),".",",")),"")</f>
        <v>105115500</v>
      </c>
      <c r="K20" s="16">
        <f t="shared" si="1"/>
        <v>56061600</v>
      </c>
      <c r="L20" s="17">
        <f t="shared" si="2"/>
        <v>0.65217391304347827</v>
      </c>
      <c r="M20" s="18">
        <f>[1]Contratos!O20</f>
        <v>46036</v>
      </c>
      <c r="N20" s="18">
        <f>[1]Contratos!P20</f>
        <v>46038</v>
      </c>
      <c r="O20" s="18">
        <f>[1]Contratos!Q20</f>
        <v>46387</v>
      </c>
      <c r="P20" s="18" t="str">
        <f>IFERROR(VLOOKUP(A20, [1]Otrosí!A:L, 7, FALSE), "N/A")</f>
        <v>N/A</v>
      </c>
      <c r="Q20" s="19" t="str">
        <f>IFERROR(_xlfn.LET(_xlpm.h,'[1]SECOP II'!$A$1:$CQ$1,_xlpm.d,'[1]SECOP II'!$A$2:$CQ$94,_xlpm.r,INDEX(_xlpm.d,0,MATCH("Referencia del Contrato",_xlpm.h,0)),INDEX(_xlpm.d,MATCH("CONTRATO 19 DE 2026",_xlpm.r,0),MATCH("Tipo de Contrato",_xlpm.h,0))),"")</f>
        <v>Prestación de servicios</v>
      </c>
      <c r="R20" s="20" t="str">
        <f>IFERROR(_xlfn.LET(_xlpm.n,--_xlfn.TEXTBEFORE(_xlfn.TEXTAFTER(A20,"CONTRATO ")," DE"),_xlpm.c,"CONTRATO "&amp;TEXT(_xlpm.n,"00")&amp;" DE 2026",_xlpm.h,'[1]SECOP II'!$A$1:$CQ$1,_xlpm.d,'[1]SECOP II'!$A$2:$CQ$94,_xlpm.r,INDEX(_xlpm.d,0,MATCH("Referencia del Contrato",_xlpm.h,0)),INDEX(_xlpm.d,MATCH(_xlpm.c,_xlpm.r,0),MATCH("Destino Gasto",_xlpm.h,0))),"")</f>
        <v>Inversión</v>
      </c>
      <c r="S20" s="21" t="str">
        <f>IFERROR(_xlfn.LET(_xlpm.n,--_xlfn.TEXTBEFORE(_xlfn.TEXTAFTER(A20,"CONTRATO ")," DE"),_xlpm.c,"CONTRATO "&amp;TEXT(_xlpm.n,"00")&amp;" DE 2026",_xlpm.h,'[1]SECOP II'!$A$1:$CQ$1,_xlpm.d,'[1]SECOP II'!$A$2:$CQ$94,_xlpm.r,INDEX(_xlpm.d,0,MATCH("Referencia del Contrato",_xlpm.h,0)),INDEX(_xlpm.d,MATCH(_xlpm.c,_xlpm.r,0),MATCH("URLProceso",_xlpm.h,0))),"")</f>
        <v>https://community.secop.gov.co/Public/Tendering/OpportunityDetail/Index?noticeUID=CO1.NTC.9491744&amp;isFromPublicArea=True&amp;isModal=true&amp;asPopupView=true</v>
      </c>
      <c r="T20" s="22" t="str">
        <f>IFERROR(_xlfn.LET(_xlpm.h,'[1]SECOP II'!$A$1:$CQ$1,_xlpm.d,'[1]SECOP II'!$A$2:$CQ$94,_xlpm.r,INDEX(_xlpm.d,0,MATCH("Referencia del Contrato",_xlpm.h,0)),INDEX(_xlpm.d,MATCH("CONTRATO 19 DE 2026",_xlpm.r,0),MATCH("Estado Contrato",_xlpm.h,0))),"")</f>
        <v>En ejecución</v>
      </c>
      <c r="U20" s="10" t="str">
        <f>[1]Contratos!C20</f>
        <v>PN</v>
      </c>
      <c r="V20" s="10" t="str">
        <f>[1]Contratos!I20</f>
        <v>PEDAGOGÍA REGULATORIA</v>
      </c>
      <c r="W20" s="23" t="str">
        <f>[1]Contratos!J20</f>
        <v>RICARDO RAMÍREZ</v>
      </c>
      <c r="X20" s="24" cm="1">
        <f t="array" ref="X20">IFERROR(VLOOKUP(W20,[1]COORD!$A$27:$B$67, 2, FALSE),[1]COORD!$B$27:$B$67)</f>
        <v>79444533</v>
      </c>
      <c r="Y20" s="25" t="s">
        <v>35</v>
      </c>
      <c r="Z20" s="26">
        <v>16734378</v>
      </c>
      <c r="AA20" s="27" t="str" cm="1">
        <f t="array" ref="AA20">IF(Y20&lt;&gt;"NIT","N/A",IF(OR(Z20="",Z20="N/A"),"N/A",IF(ISERROR(VALUE(IF(ISNUMBER(FIND("-",TEXT(Z20,"@"))),LEFT(TEXT(Z20,"@"),FIND("-",TEXT(Z20,"@"))-1),TEXT(Z20,"@")))),"N/A",IF(MOD(SUMPRODUCT(VALUE(MID(TEXT(VALUE(IF(ISNUMBER(FIND("-",TEXT(Z20,"@"))),LEFT(TEXT(Z20,"@"),FIND("-",TEXT(Z20,"@"))-1),TEXT(Z20,"@"))),"000000000000000"),{15,14,13,12,11,10,9,8,7,6,5,4,3,2,1},1)),{3,7,13,17,19,23,29,37,41,43,47,53,59,67,71}),11)=0,0,IF(MOD(SUMPRODUCT(VALUE(MID(TEXT(VALUE(IF(ISNUMBER(FIND("-",TEXT(Z20,"@"))),LEFT(TEXT(Z20,"@"),FIND("-",TEXT(Z20,"@"))-1),TEXT(Z20,"@"))),"000000000000000"),{15,14,13,12,11,10,9,8,7,6,5,4,3,2,1},1)),{3,7,13,17,19,23,29,37,41,43,47,53,59,67,71}),11)=1,1,11-MOD(SUMPRODUCT(VALUE(MID(TEXT(VALUE(IF(ISNUMBER(FIND("-",TEXT(Z20,"@"))),LEFT(TEXT(Z20,"@"),FIND("-",TEXT(Z20,"@"))-1),TEXT(Z20,"@"))),"000000000000000"),{15,14,13,12,11,10,9,8,7,6,5,4,3,2,1},1)),{3,7,13,17,19,23,29,37,41,43,47,53,59,67,71}),11))))))</f>
        <v>N/A</v>
      </c>
      <c r="AB20" s="27">
        <v>86101701</v>
      </c>
      <c r="AC20" s="29" t="str">
        <f>[1]Contratos!Z20</f>
        <v>NO</v>
      </c>
      <c r="AD20" s="30">
        <f t="shared" si="3"/>
        <v>351</v>
      </c>
      <c r="AE20" s="31" t="s">
        <v>37</v>
      </c>
      <c r="AF20" s="31" t="str" cm="1">
        <f t="array" ref="AF20">IF(AG20="","",IFERROR(_xlfn.LET(_xlpm.x,INDEX([1]RP!$Z$2:$Z$706,MATCH(AG20&amp;"",[1]RP!$A$2:$A$706&amp;"",0)),IF(_xlpm.x="","",_xlpm.x)),""))</f>
        <v>3126</v>
      </c>
      <c r="AG20" s="31" cm="1">
        <f t="array" ref="AG20">IF(A20="","",IFERROR(_xlfn.LET(_xlpm.rp,[1]RP!$A$2:$A$706,_xlpm.dt,IFERROR(DATE(--LEFT([1]RP!$B$2:$B$706,4),--MID([1]RP!$B$2:$B$706,6,2),--MID([1]RP!$B$2:$B$706,9,2)),0),_xlpm.qid,UPPER(SUBSTITUTE(SUBSTITUTE(SUBSTITUTE(SUBSTITUTE([1]RP!$Q$2:$Q$706,".",""),"-","")," ",""),"O","0")),_xlpm.eid,UPPER(SUBSTITUTE(SUBSTITUTE(SUBSTITUTE(SUBSTITUTE(Z20,".",""),"-","")," ",""),"O","0")),_xlpm.qnm,UPPER(SUBSTITUTE(SUBSTITUTE(SUBSTITUTE(SUBSTITUTE(SUBSTITUTE([1]RP!$R$2:$R$706,".",""),"-","")," ",""),"Á","A"),"É","E")),_xlpm.enm,UPPER(SUBSTITUTE(SUBSTITUTE(SUBSTITUTE(SUBSTITUTE(SUBSTITUTE(B20,".",""),"-",""),"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20,"CONTRATO ")," DE")&amp;"/2026",_xlpm.dm,--ISNUMBER(SEARCH(_xlpm.num,_xlpm.sup)),_xlpm.dif,IF(_xlpm.ok,(1-_xlpm.dm)*1000000+IF(AND(ISNUMBER(M20),M20&gt;0),ABS(_xlpm.dt-M20),0),1E+99),_xlpm.md,MIN(_xlpm.dif),INDEX(_xlfn._xlws.FILTER(_xlpm.rp,(_xlpm.ok&gt;0)*(_xlpm.dif=_xlpm.md)),1)),""))</f>
        <v>2826</v>
      </c>
      <c r="AH20" s="32" cm="1">
        <f t="array" ref="AH20">IF(AF20="","",IFERROR(_xlfn.LET(_xlpm.x,INDEX([1]CDP!$B$2:$B$322,MATCH(AF20&amp;"",[1]CDP!$A$2:$A$322&amp;"",0)),IF(ISNUMBER(_xlpm.x),_xlpm.x,DATE(--LEFT(_xlpm.x,4),--MID(_xlpm.x,6,2),--MID(_xlpm.x,9,2)))),""))</f>
        <v>46030</v>
      </c>
    </row>
    <row r="21" spans="1:34" ht="61.5" customHeight="1" x14ac:dyDescent="0.35">
      <c r="A21" s="1" t="str">
        <f>[1]Contratos!A21</f>
        <v>CONTRATO 20 DE 2026</v>
      </c>
      <c r="B21" s="10" t="str">
        <f>[1]Contratos!B21</f>
        <v xml:space="preserve">ESTRATEGIAS Y ASESORÍAS REGULATORIAS S.A.S. </v>
      </c>
      <c r="C21" s="10" t="str">
        <f>[1]Contratos!E21</f>
        <v>Contratación directa</v>
      </c>
      <c r="D21" s="10" t="s">
        <v>63</v>
      </c>
      <c r="E21" s="11" t="str">
        <f>[1]Contratos!F21</f>
        <v>Prestar servicios de asesoría estratégica, jurídica y regulatoria para fortalecer la gestión institucional de la CRC en asuntos de relacionamiento y seguimiento misional, mediante un acompañamiento jurídico especializado que apoye a la Coordinación de Relaciones con Grupos de Valor en el monitoreo, análisis y gestión de iniciativas legislativas en el Congreso que impactan las competencias de la Entidad en los sectores de comunicaciones, postal y contenidos audiovisuales.</v>
      </c>
      <c r="F21" s="12">
        <v>218866593</v>
      </c>
      <c r="G21" s="13">
        <f>[1]Contratos!G21</f>
        <v>218866593</v>
      </c>
      <c r="H21" s="14" t="str">
        <f>IFERROR(VLOOKUP(A21, [1]Otrosí!A:F, 6, FALSE), "0")</f>
        <v>0</v>
      </c>
      <c r="I21" s="13">
        <f t="shared" si="0"/>
        <v>218866593</v>
      </c>
      <c r="J21" s="15">
        <f>IFERROR(_xlfn.LET(_xlpm.x,_xlfn.LET(_xlpm.n,--_xlfn.TEXTBEFORE(_xlfn.TEXTAFTER(A21,"CONTRATO ")," DE"),_xlpm.c,"CONTRATO "&amp;TEXT(_xlpm.n,"00")&amp;" DE 2026",_xlpm.h,'[1]SECOP II'!$A$1:$CQ$1,_xlpm.d,'[1]SECOP II'!$A$2:$CQ$94,_xlpm.r,INDEX(_xlpm.d,0,MATCH("Referencia del Contrato",_xlpm.h,0)),INDEX(_xlpm.d,MATCH(_xlpm.c,_xlpm.r,0),MATCH("Valor Pagado",_xlpm.h,0))),_xlfn.NUMBERVALUE(SUBSTITUTE(_xlpm.x,"$",""),".",",")),"")</f>
        <v>159175704</v>
      </c>
      <c r="K21" s="16">
        <f t="shared" si="1"/>
        <v>59690889</v>
      </c>
      <c r="L21" s="17">
        <f t="shared" si="2"/>
        <v>0.72727272727272729</v>
      </c>
      <c r="M21" s="18">
        <f>[1]Contratos!O21</f>
        <v>46036</v>
      </c>
      <c r="N21" s="18">
        <f>[1]Contratos!P21</f>
        <v>46041</v>
      </c>
      <c r="O21" s="18">
        <f>[1]Contratos!Q21</f>
        <v>46374</v>
      </c>
      <c r="P21" s="18" t="str">
        <f>IFERROR(VLOOKUP(A21, [1]Otrosí!A:L, 7, FALSE), "N/A")</f>
        <v>N/A</v>
      </c>
      <c r="Q21" s="19" t="str">
        <f>IFERROR(_xlfn.LET(_xlpm.h,'[1]SECOP II'!$A$1:$CQ$1,_xlpm.d,'[1]SECOP II'!$A$2:$CQ$94,_xlpm.r,INDEX(_xlpm.d,0,MATCH("Referencia del Contrato",_xlpm.h,0)),INDEX(_xlpm.d,MATCH("CONTRATO 20 DE 2026",_xlpm.r,0),MATCH("Tipo de Contrato",_xlpm.h,0))),"")</f>
        <v>Prestación de servicios</v>
      </c>
      <c r="R21" s="20" t="str">
        <f>IFERROR(_xlfn.LET(_xlpm.n,--_xlfn.TEXTBEFORE(_xlfn.TEXTAFTER(A21,"CONTRATO ")," DE"),_xlpm.c,"CONTRATO "&amp;TEXT(_xlpm.n,"00")&amp;" DE 2026",_xlpm.h,'[1]SECOP II'!$A$1:$CQ$1,_xlpm.d,'[1]SECOP II'!$A$2:$CQ$94,_xlpm.r,INDEX(_xlpm.d,0,MATCH("Referencia del Contrato",_xlpm.h,0)),INDEX(_xlpm.d,MATCH(_xlpm.c,_xlpm.r,0),MATCH("Destino Gasto",_xlpm.h,0))),"")</f>
        <v>Inversión</v>
      </c>
      <c r="S21" s="21" t="str">
        <f>IFERROR(_xlfn.LET(_xlpm.n,--_xlfn.TEXTBEFORE(_xlfn.TEXTAFTER(A21,"CONTRATO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https://community.secop.gov.co/Public/Tendering/OpportunityDetail/Index?noticeUID=CO1.NTC.9489580&amp;isFromPublicArea=True&amp;isModal=true&amp;asPopupView=true</v>
      </c>
      <c r="T21" s="22" t="str">
        <f>IFERROR(_xlfn.LET(_xlpm.h,'[1]SECOP II'!$A$1:$CQ$1,_xlpm.d,'[1]SECOP II'!$A$2:$CQ$94,_xlpm.r,INDEX(_xlpm.d,0,MATCH("Referencia del Contrato",_xlpm.h,0)),INDEX(_xlpm.d,MATCH("CONTRATO 20 DE 2026",_xlpm.r,0),MATCH("Estado Contrato",_xlpm.h,0))),"")</f>
        <v>En ejecución</v>
      </c>
      <c r="U21" s="10" t="str">
        <f>[1]Contratos!C21</f>
        <v>PJ</v>
      </c>
      <c r="V21" s="10" t="str">
        <f>[1]Contratos!I21</f>
        <v>RELACIONES CON GRUPOS DE VALOR</v>
      </c>
      <c r="W21" s="23" t="str">
        <f>[1]Contratos!J21</f>
        <v>MARIANA SARMIENTO</v>
      </c>
      <c r="X21" s="24" cm="1">
        <f t="array" ref="X21">IFERROR(VLOOKUP(W21,[1]COORD!$A$27:$B$67, 2, FALSE),[1]COORD!$B$27:$B$67)</f>
        <v>52862292</v>
      </c>
      <c r="Y21" s="25" t="s">
        <v>57</v>
      </c>
      <c r="Z21" s="26">
        <v>901658126</v>
      </c>
      <c r="AA21" s="27" cm="1">
        <f t="array" ref="AA21">IF(Y21&lt;&gt;"NIT","N/A",IF(OR(Z21="",Z21="N/A"),"N/A",IF(ISERROR(VALUE(IF(ISNUMBER(FIND("-",TEXT(Z21,"@"))),LEFT(TEXT(Z21,"@"),FIND("-",TEXT(Z21,"@"))-1),TEXT(Z21,"@")))),"N/A",IF(MOD(SUMPRODUCT(VALUE(MID(TEXT(VALUE(IF(ISNUMBER(FIND("-",TEXT(Z21,"@"))),LEFT(TEXT(Z21,"@"),FIND("-",TEXT(Z21,"@"))-1),TEXT(Z21,"@"))),"000000000000000"),{15,14,13,12,11,10,9,8,7,6,5,4,3,2,1},1)),{3,7,13,17,19,23,29,37,41,43,47,53,59,67,71}),11)=0,0,IF(MOD(SUMPRODUCT(VALUE(MID(TEXT(VALUE(IF(ISNUMBER(FIND("-",TEXT(Z21,"@"))),LEFT(TEXT(Z21,"@"),FIND("-",TEXT(Z21,"@"))-1),TEXT(Z21,"@"))),"000000000000000"),{15,14,13,12,11,10,9,8,7,6,5,4,3,2,1},1)),{3,7,13,17,19,23,29,37,41,43,47,53,59,67,71}),11)=1,1,11-MOD(SUMPRODUCT(VALUE(MID(TEXT(VALUE(IF(ISNUMBER(FIND("-",TEXT(Z21,"@"))),LEFT(TEXT(Z21,"@"),FIND("-",TEXT(Z21,"@"))-1),TEXT(Z21,"@"))),"000000000000000"),{15,14,13,12,11,10,9,8,7,6,5,4,3,2,1},1)),{3,7,13,17,19,23,29,37,41,43,47,53,59,67,71}),11))))))</f>
        <v>2</v>
      </c>
      <c r="AB21" s="27">
        <v>80121601</v>
      </c>
      <c r="AC21" s="29" t="str">
        <f>[1]Contratos!Z21</f>
        <v>N/A</v>
      </c>
      <c r="AD21" s="30">
        <f t="shared" si="3"/>
        <v>338</v>
      </c>
      <c r="AE21" s="31" t="s">
        <v>37</v>
      </c>
      <c r="AF21" s="31" t="str" cm="1">
        <f t="array" ref="AF21">IF(AG21="","",IFERROR(_xlfn.LET(_xlpm.x,INDEX([1]RP!$Z$2:$Z$706,MATCH(AG21&amp;"",[1]RP!$A$2:$A$706&amp;"",0)),IF(_xlpm.x="","",_xlpm.x)),""))</f>
        <v>4226</v>
      </c>
      <c r="AG21" s="31" cm="1">
        <f t="array" ref="AG21">IF(A21="","",IFERROR(_xlfn.LET(_xlpm.rp,[1]RP!$A$2:$A$706,_xlpm.dt,IFERROR(DATE(--LEFT([1]RP!$B$2:$B$706,4),--MID([1]RP!$B$2:$B$706,6,2),--MID([1]RP!$B$2:$B$706,9,2)),0),_xlpm.qid,UPPER(SUBSTITUTE(SUBSTITUTE(SUBSTITUTE(SUBSTITUTE([1]RP!$Q$2:$Q$706,".",""),"-","")," ",""),"O","0")),_xlpm.eid,UPPER(SUBSTITUTE(SUBSTITUTE(SUBSTITUTE(SUBSTITUTE(Z21,".",""),"-","")," ",""),"O","0")),_xlpm.qnm,UPPER(SUBSTITUTE(SUBSTITUTE(SUBSTITUTE(SUBSTITUTE(SUBSTITUTE([1]RP!$R$2:$R$706,".",""),"-","")," ",""),"Á","A"),"É","E")),_xlpm.enm,UPPER(SUBSTITUTE(SUBSTITUTE(SUBSTITUTE(SUBSTITUTE(SUBSTITUTE(B21,".",""),"-",""),"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21,"CONTRATO ")," DE")&amp;"/2026",_xlpm.dm,--ISNUMBER(SEARCH(_xlpm.num,_xlpm.sup)),_xlpm.dif,IF(_xlpm.ok,(1-_xlpm.dm)*1000000+IF(AND(ISNUMBER(M21),M21&gt;0),ABS(_xlpm.dt-M21),0),1E+99),_xlpm.md,MIN(_xlpm.dif),INDEX(_xlfn._xlws.FILTER(_xlpm.rp,(_xlpm.ok&gt;0)*(_xlpm.dif=_xlpm.md)),1)),""))</f>
        <v>2926</v>
      </c>
      <c r="AH21" s="32" cm="1">
        <f t="array" ref="AH21">IF(AF21="","",IFERROR(_xlfn.LET(_xlpm.x,INDEX([1]CDP!$B$2:$B$322,MATCH(AF21&amp;"",[1]CDP!$A$2:$A$322&amp;"",0)),IF(ISNUMBER(_xlpm.x),_xlpm.x,DATE(--LEFT(_xlpm.x,4),--MID(_xlpm.x,6,2),--MID(_xlpm.x,9,2)))),""))</f>
        <v>46030</v>
      </c>
    </row>
    <row r="22" spans="1:34" ht="61.5" customHeight="1" x14ac:dyDescent="0.35">
      <c r="A22" s="1" t="str">
        <f>[1]Contratos!A22</f>
        <v>CONTRATO 21 DE 2026</v>
      </c>
      <c r="B22" s="10" t="s">
        <v>64</v>
      </c>
      <c r="C22" s="10" t="str">
        <f>[1]Contratos!E22</f>
        <v>Prestación de servicios profesionales o Apoyo a la gestión</v>
      </c>
      <c r="D22" s="10" t="s">
        <v>65</v>
      </c>
      <c r="E22" s="11" t="str">
        <f>[1]Contratos!F22</f>
        <v>Prestación de servicios profesionales especializados para apoyar en el diseño, implementación y fortalecimiento de la política y la estrategia de gestión de conocimiento e innovación en el marco del Modelo Integrado de Planeación y Gestión (MIPG); la formulación y acompañamiento de procesos de innovación institucional y experimental, incluyendo la articulación con instituciones de educación superior y centros de investigación para el desarrollo de proyectos colaborativos y de investigación aplicada, en concordancia con la Agenda Regulatoria y el Plan de Acción de la CRC para el año 2026</v>
      </c>
      <c r="F22" s="12">
        <v>158829605</v>
      </c>
      <c r="G22" s="13">
        <f>[1]Contratos!G22</f>
        <v>158829605</v>
      </c>
      <c r="H22" s="14" t="str">
        <f>IFERROR(VLOOKUP(A22, [1]Otrosí!A:F, 6, FALSE), "0")</f>
        <v>0</v>
      </c>
      <c r="I22" s="13">
        <f t="shared" si="0"/>
        <v>158829605</v>
      </c>
      <c r="J22" s="15">
        <f>IFERROR(_xlfn.LET(_xlpm.x,_xlfn.LET(_xlpm.n,--_xlfn.TEXTBEFORE(_xlfn.TEXTAFTER(A22,"CONTRATO ")," DE"),_xlpm.c,"CONTRATO "&amp;TEXT(_xlpm.n,"00")&amp;" DE 2026",_xlpm.h,'[1]SECOP II'!$A$1:$CQ$1,_xlpm.d,'[1]SECOP II'!$A$2:$CQ$94,_xlpm.r,INDEX(_xlpm.d,0,MATCH("Referencia del Contrato",_xlpm.h,0)),INDEX(_xlpm.d,MATCH(_xlpm.c,_xlpm.r,0),MATCH("Valor Pagado",_xlpm.h,0))),_xlfn.NUMBERVALUE(SUBSTITUTE(_xlpm.x,"$",""),".",",")),"")</f>
        <v>117395813</v>
      </c>
      <c r="K22" s="16">
        <f t="shared" si="1"/>
        <v>41433792</v>
      </c>
      <c r="L22" s="17">
        <f t="shared" si="2"/>
        <v>0.73913054811160672</v>
      </c>
      <c r="M22" s="18">
        <f>[1]Contratos!O22</f>
        <v>46037</v>
      </c>
      <c r="N22" s="18">
        <f>[1]Contratos!P22</f>
        <v>46038</v>
      </c>
      <c r="O22" s="18">
        <f>[1]Contratos!Q22</f>
        <v>46387</v>
      </c>
      <c r="P22" s="18" t="str">
        <f>IFERROR(VLOOKUP(A22, [1]Otrosí!A:L, 7, FALSE), "N/A")</f>
        <v>N/A</v>
      </c>
      <c r="Q22" s="19" t="str">
        <f>IFERROR(_xlfn.LET(_xlpm.h,'[1]SECOP II'!$A$1:$CQ$1,_xlpm.d,'[1]SECOP II'!$A$2:$CQ$94,_xlpm.r,INDEX(_xlpm.d,0,MATCH("Referencia del Contrato",_xlpm.h,0)),INDEX(_xlpm.d,MATCH("CONTRATO 21 DE 2026",_xlpm.r,0),MATCH("Tipo de Contrato",_xlpm.h,0))),"")</f>
        <v>Prestación de servicios</v>
      </c>
      <c r="R22" s="20" t="str">
        <f>IFERROR(_xlfn.LET(_xlpm.n,--_xlfn.TEXTBEFORE(_xlfn.TEXTAFTER(A22,"CONTRATO ")," DE"),_xlpm.c,"CONTRATO "&amp;TEXT(_xlpm.n,"00")&amp;" DE 2026",_xlpm.h,'[1]SECOP II'!$A$1:$CQ$1,_xlpm.d,'[1]SECOP II'!$A$2:$CQ$94,_xlpm.r,INDEX(_xlpm.d,0,MATCH("Referencia del Contrato",_xlpm.h,0)),INDEX(_xlpm.d,MATCH(_xlpm.c,_xlpm.r,0),MATCH("Destino Gasto",_xlpm.h,0))),"")</f>
        <v>Inversión</v>
      </c>
      <c r="S22" s="21" t="str">
        <f>IFERROR(_xlfn.LET(_xlpm.n,--_xlfn.TEXTBEFORE(_xlfn.TEXTAFTER(A22,"CONTRATO ")," DE"),_xlpm.c,"CONTRATO "&amp;TEXT(_xlpm.n,"00")&amp;" DE 2026",_xlpm.h,'[1]SECOP II'!$A$1:$CQ$1,_xlpm.d,'[1]SECOP II'!$A$2:$CQ$94,_xlpm.r,INDEX(_xlpm.d,0,MATCH("Referencia del Contrato",_xlpm.h,0)),INDEX(_xlpm.d,MATCH(_xlpm.c,_xlpm.r,0),MATCH("URLProceso",_xlpm.h,0))),"")</f>
        <v>https://community.secop.gov.co/Public/Tendering/OpportunityDetail/Index?noticeUID=CO1.NTC.9508772&amp;isFromPublicArea=True&amp;isModal=true&amp;asPopupView=true</v>
      </c>
      <c r="T22" s="22" t="str">
        <f>IFERROR(_xlfn.LET(_xlpm.h,'[1]SECOP II'!$A$1:$CQ$1,_xlpm.d,'[1]SECOP II'!$A$2:$CQ$94,_xlpm.r,INDEX(_xlpm.d,0,MATCH("Referencia del Contrato",_xlpm.h,0)),INDEX(_xlpm.d,MATCH("CONTRATO 21 DE 2026",_xlpm.r,0),MATCH("Estado Contrato",_xlpm.h,0))),"")</f>
        <v>En ejecución</v>
      </c>
      <c r="U22" s="10" t="str">
        <f>[1]Contratos!C22</f>
        <v>PN</v>
      </c>
      <c r="V22" s="10" t="str">
        <f>[1]Contratos!I22</f>
        <v>PROSPECTIVA ESTR. E INN / PEDAGOGÍA REGULATORIA</v>
      </c>
      <c r="W22" s="23" t="str">
        <f>[1]Contratos!J22</f>
        <v>VICTOR BALDRICH / RICARDO RAMÍREZ</v>
      </c>
      <c r="X22" s="24" t="str" cm="1">
        <f t="array" ref="X22">IFERROR(VLOOKUP(W22,[1]COORD!$A$27:$B$67, 2, FALSE),[1]COORD!$B$27:$B$67)</f>
        <v>1019105701 / 79444533</v>
      </c>
      <c r="Y22" s="25" t="s">
        <v>35</v>
      </c>
      <c r="Z22" s="26">
        <v>1088306511</v>
      </c>
      <c r="AA22" s="27" t="str" cm="1">
        <f t="array" ref="AA22">IF(Y22&lt;&gt;"NIT","N/A",IF(OR(Z22="",Z22="N/A"),"N/A",IF(ISERROR(VALUE(IF(ISNUMBER(FIND("-",TEXT(Z22,"@"))),LEFT(TEXT(Z22,"@"),FIND("-",TEXT(Z22,"@"))-1),TEXT(Z22,"@")))),"N/A",IF(MOD(SUMPRODUCT(VALUE(MID(TEXT(VALUE(IF(ISNUMBER(FIND("-",TEXT(Z22,"@"))),LEFT(TEXT(Z22,"@"),FIND("-",TEXT(Z22,"@"))-1),TEXT(Z22,"@"))),"000000000000000"),{15,14,13,12,11,10,9,8,7,6,5,4,3,2,1},1)),{3,7,13,17,19,23,29,37,41,43,47,53,59,67,71}),11)=0,0,IF(MOD(SUMPRODUCT(VALUE(MID(TEXT(VALUE(IF(ISNUMBER(FIND("-",TEXT(Z22,"@"))),LEFT(TEXT(Z22,"@"),FIND("-",TEXT(Z22,"@"))-1),TEXT(Z22,"@"))),"000000000000000"),{15,14,13,12,11,10,9,8,7,6,5,4,3,2,1},1)),{3,7,13,17,19,23,29,37,41,43,47,53,59,67,71}),11)=1,1,11-MOD(SUMPRODUCT(VALUE(MID(TEXT(VALUE(IF(ISNUMBER(FIND("-",TEXT(Z22,"@"))),LEFT(TEXT(Z22,"@"),FIND("-",TEXT(Z22,"@"))-1),TEXT(Z22,"@"))),"000000000000000"),{15,14,13,12,11,10,9,8,7,6,5,4,3,2,1},1)),{3,7,13,17,19,23,29,37,41,43,47,53,59,67,71}),11))))))</f>
        <v>N/A</v>
      </c>
      <c r="AB22" s="27">
        <v>80101505</v>
      </c>
      <c r="AC22" s="29" t="str">
        <f>[1]Contratos!Z22</f>
        <v>NO</v>
      </c>
      <c r="AD22" s="30">
        <f t="shared" si="3"/>
        <v>350</v>
      </c>
      <c r="AE22" s="31" t="s">
        <v>37</v>
      </c>
      <c r="AF22" s="31" t="str" cm="1">
        <f t="array" ref="AF22">IF(AG22="","",IFERROR(_xlfn.LET(_xlpm.x,INDEX([1]RP!$Z$2:$Z$706,MATCH(AG22&amp;"",[1]RP!$A$2:$A$706&amp;"",0)),IF(_xlpm.x="","",_xlpm.x)),""))</f>
        <v>2626</v>
      </c>
      <c r="AG22" s="31" cm="1">
        <f t="array" ref="AG22">IF(A22="","",IFERROR(_xlfn.LET(_xlpm.rp,[1]RP!$A$2:$A$706,_xlpm.dt,IFERROR(DATE(--LEFT([1]RP!$B$2:$B$706,4),--MID([1]RP!$B$2:$B$706,6,2),--MID([1]RP!$B$2:$B$706,9,2)),0),_xlpm.qid,UPPER(SUBSTITUTE(SUBSTITUTE(SUBSTITUTE(SUBSTITUTE([1]RP!$Q$2:$Q$706,".",""),"-","")," ",""),"O","0")),_xlpm.eid,UPPER(SUBSTITUTE(SUBSTITUTE(SUBSTITUTE(SUBSTITUTE(Z22,".",""),"-","")," ",""),"O","0")),_xlpm.qnm,UPPER(SUBSTITUTE(SUBSTITUTE(SUBSTITUTE(SUBSTITUTE(SUBSTITUTE([1]RP!$R$2:$R$706,".",""),"-","")," ",""),"Á","A"),"É","E")),_xlpm.enm,UPPER(SUBSTITUTE(SUBSTITUTE(SUBSTITUTE(SUBSTITUTE(SUBSTITUTE(B22,".",""),"-",""),"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22,"CONTRATO ")," DE")&amp;"/2026",_xlpm.dm,--ISNUMBER(SEARCH(_xlpm.num,_xlpm.sup)),_xlpm.dif,IF(_xlpm.ok,(1-_xlpm.dm)*1000000+IF(AND(ISNUMBER(M22),M22&gt;0),ABS(_xlpm.dt-M22),0),1E+99),_xlpm.md,MIN(_xlpm.dif),INDEX(_xlfn._xlws.FILTER(_xlpm.rp,(_xlpm.ok&gt;0)*(_xlpm.dif=_xlpm.md)),1)),""))</f>
        <v>5326</v>
      </c>
      <c r="AH22" s="32" cm="1">
        <f t="array" ref="AH22">IF(AF22="","",IFERROR(_xlfn.LET(_xlpm.x,INDEX([1]CDP!$B$2:$B$322,MATCH(AF22&amp;"",[1]CDP!$A$2:$A$322&amp;"",0)),IF(ISNUMBER(_xlpm.x),_xlpm.x,DATE(--LEFT(_xlpm.x,4),--MID(_xlpm.x,6,2),--MID(_xlpm.x,9,2)))),""))</f>
        <v>46030</v>
      </c>
    </row>
    <row r="23" spans="1:34" ht="61.5" customHeight="1" x14ac:dyDescent="0.35">
      <c r="A23" s="1" t="str">
        <f>[1]Contratos!A23</f>
        <v>CONTRATO 22 DE 2026</v>
      </c>
      <c r="B23" s="10" t="s">
        <v>66</v>
      </c>
      <c r="C23" s="10" t="str">
        <f>[1]Contratos!E23</f>
        <v>Prestación de servicios profesionales o Apoyo a la gestión</v>
      </c>
      <c r="D23" s="10" t="s">
        <v>67</v>
      </c>
      <c r="E23" s="11" t="str">
        <f>[1]Contratos!F23</f>
        <v>Contratar la prestación de servicios profesionales especializados en derecho, con el fin de brindar apoyo jurídico integral a la CRC en el desarrollo de sus funciones misionales, particularmente aquellas asignadas a las Sesiones de Comisión de Comunicaciones y de Contenidos Audiovisuales</v>
      </c>
      <c r="F23" s="12">
        <v>243079000</v>
      </c>
      <c r="G23" s="13">
        <f>[1]Contratos!G23</f>
        <v>243079000</v>
      </c>
      <c r="H23" s="14" t="str">
        <f>IFERROR(VLOOKUP(A23, [1]Otrosí!A:F, 6, FALSE), "0")</f>
        <v>0</v>
      </c>
      <c r="I23" s="13">
        <f t="shared" si="0"/>
        <v>243079000</v>
      </c>
      <c r="J23" s="15">
        <f>IFERROR(_xlfn.LET(_xlpm.x,_xlfn.LET(_xlpm.n,--_xlfn.TEXTBEFORE(_xlfn.TEXTAFTER(A23,"CONTRATO ")," DE"),_xlpm.c,"CONTRATO "&amp;TEXT(_xlpm.n,"00")&amp;" DE 2026",_xlpm.h,'[1]SECOP II'!$A$1:$CQ$1,_xlpm.d,'[1]SECOP II'!$A$2:$CQ$94,_xlpm.r,INDEX(_xlpm.d,0,MATCH("Referencia del Contrato",_xlpm.h,0)),INDEX(_xlpm.d,MATCH(_xlpm.c,_xlpm.r,0),MATCH("Valor Pagado",_xlpm.h,0))),_xlfn.NUMBERVALUE(SUBSTITUTE(_xlpm.x,"$",""),".",",")),"")</f>
        <v>155712120.93000001</v>
      </c>
      <c r="K23" s="16">
        <f t="shared" si="1"/>
        <v>87366879.069999993</v>
      </c>
      <c r="L23" s="17">
        <f t="shared" si="2"/>
        <v>0.64058236593864548</v>
      </c>
      <c r="M23" s="18">
        <f>[1]Contratos!O23</f>
        <v>46037</v>
      </c>
      <c r="N23" s="18">
        <f>[1]Contratos!P23</f>
        <v>46042</v>
      </c>
      <c r="O23" s="18">
        <f>[1]Contratos!Q23</f>
        <v>46387</v>
      </c>
      <c r="P23" s="18" t="str">
        <f>IFERROR(VLOOKUP(A23, [1]Otrosí!A:L, 7, FALSE), "N/A")</f>
        <v>N/A</v>
      </c>
      <c r="Q23" s="19" t="str">
        <f>IFERROR(_xlfn.LET(_xlpm.h,'[1]SECOP II'!$A$1:$CQ$1,_xlpm.d,'[1]SECOP II'!$A$2:$CQ$94,_xlpm.r,INDEX(_xlpm.d,0,MATCH("Referencia del Contrato",_xlpm.h,0)),INDEX(_xlpm.d,MATCH("CONTRATO 22 DE 2026",_xlpm.r,0),MATCH("Tipo de Contrato",_xlpm.h,0))),"")</f>
        <v>Prestación de servicios</v>
      </c>
      <c r="R23" s="20" t="str">
        <f>IFERROR(_xlfn.LET(_xlpm.n,--_xlfn.TEXTBEFORE(_xlfn.TEXTAFTER(A23,"CONTRATO ")," DE"),_xlpm.c,"CONTRATO "&amp;TEXT(_xlpm.n,"00")&amp;" DE 2026",_xlpm.h,'[1]SECOP II'!$A$1:$CQ$1,_xlpm.d,'[1]SECOP II'!$A$2:$CQ$94,_xlpm.r,INDEX(_xlpm.d,0,MATCH("Referencia del Contrato",_xlpm.h,0)),INDEX(_xlpm.d,MATCH(_xlpm.c,_xlpm.r,0),MATCH("Destino Gasto",_xlpm.h,0))),"")</f>
        <v>Inversión</v>
      </c>
      <c r="S23" s="21" t="str">
        <f>IFERROR(_xlfn.LET(_xlpm.n,--_xlfn.TEXTBEFORE(_xlfn.TEXTAFTER(A23,"CONTRATO ")," DE"),_xlpm.c,"CONTRATO "&amp;TEXT(_xlpm.n,"00")&amp;" DE 2026",_xlpm.h,'[1]SECOP II'!$A$1:$CQ$1,_xlpm.d,'[1]SECOP II'!$A$2:$CQ$94,_xlpm.r,INDEX(_xlpm.d,0,MATCH("Referencia del Contrato",_xlpm.h,0)),INDEX(_xlpm.d,MATCH(_xlpm.c,_xlpm.r,0),MATCH("URLProceso",_xlpm.h,0))),"")</f>
        <v>https://community.secop.gov.co/Public/Tendering/OpportunityDetail/Index?noticeUID=CO1.NTC.9553368&amp;isFromPublicArea=True&amp;isModal=true&amp;asPopupView=true</v>
      </c>
      <c r="T23" s="22" t="str">
        <f>IFERROR(_xlfn.LET(_xlpm.h,'[1]SECOP II'!$A$1:$CQ$1,_xlpm.d,'[1]SECOP II'!$A$2:$CQ$94,_xlpm.r,INDEX(_xlpm.d,0,MATCH("Referencia del Contrato",_xlpm.h,0)),INDEX(_xlpm.d,MATCH("CONTRATO 22 DE 2026",_xlpm.r,0),MATCH("Estado Contrato",_xlpm.h,0))),"")</f>
        <v>En ejecución</v>
      </c>
      <c r="U23" s="10" t="str">
        <f>[1]Contratos!C23</f>
        <v>PN</v>
      </c>
      <c r="V23" s="10" t="str">
        <f>[1]Contratos!I23</f>
        <v>GESTIÓN JURÍDICA</v>
      </c>
      <c r="W23" s="23" t="str">
        <f>[1]Contratos!J23</f>
        <v>VICTOR SANDOVAL</v>
      </c>
      <c r="X23" s="24" cm="1">
        <f t="array" ref="X23">IFERROR(VLOOKUP(W23,[1]COORD!$A$27:$B$67, 2, FALSE),[1]COORD!$B$27:$B$67)</f>
        <v>1026264211</v>
      </c>
      <c r="Y23" s="25" t="s">
        <v>35</v>
      </c>
      <c r="Z23" s="26">
        <v>52708167</v>
      </c>
      <c r="AA23" s="27" t="str" cm="1">
        <f t="array" ref="AA23">IF(Y23&lt;&gt;"NIT","N/A",IF(OR(Z23="",Z23="N/A"),"N/A",IF(ISERROR(VALUE(IF(ISNUMBER(FIND("-",TEXT(Z23,"@"))),LEFT(TEXT(Z23,"@"),FIND("-",TEXT(Z23,"@"))-1),TEXT(Z23,"@")))),"N/A",IF(MOD(SUMPRODUCT(VALUE(MID(TEXT(VALUE(IF(ISNUMBER(FIND("-",TEXT(Z23,"@"))),LEFT(TEXT(Z23,"@"),FIND("-",TEXT(Z23,"@"))-1),TEXT(Z23,"@"))),"000000000000000"),{15,14,13,12,11,10,9,8,7,6,5,4,3,2,1},1)),{3,7,13,17,19,23,29,37,41,43,47,53,59,67,71}),11)=0,0,IF(MOD(SUMPRODUCT(VALUE(MID(TEXT(VALUE(IF(ISNUMBER(FIND("-",TEXT(Z23,"@"))),LEFT(TEXT(Z23,"@"),FIND("-",TEXT(Z23,"@"))-1),TEXT(Z23,"@"))),"000000000000000"),{15,14,13,12,11,10,9,8,7,6,5,4,3,2,1},1)),{3,7,13,17,19,23,29,37,41,43,47,53,59,67,71}),11)=1,1,11-MOD(SUMPRODUCT(VALUE(MID(TEXT(VALUE(IF(ISNUMBER(FIND("-",TEXT(Z23,"@"))),LEFT(TEXT(Z23,"@"),FIND("-",TEXT(Z23,"@"))-1),TEXT(Z23,"@"))),"000000000000000"),{15,14,13,12,11,10,9,8,7,6,5,4,3,2,1},1)),{3,7,13,17,19,23,29,37,41,43,47,53,59,67,71}),11))))))</f>
        <v>N/A</v>
      </c>
      <c r="AB23" s="27">
        <v>80121601</v>
      </c>
      <c r="AC23" s="29" t="str">
        <f>[1]Contratos!Z23</f>
        <v>NO</v>
      </c>
      <c r="AD23" s="30">
        <f t="shared" si="3"/>
        <v>350</v>
      </c>
      <c r="AE23" s="31" t="s">
        <v>37</v>
      </c>
      <c r="AF23" s="31" t="str" cm="1">
        <f t="array" ref="AF23">IF(AG23="","",IFERROR(_xlfn.LET(_xlpm.x,INDEX([1]RP!$Z$2:$Z$706,MATCH(AG23&amp;"",[1]RP!$A$2:$A$706&amp;"",0)),IF(_xlpm.x="","",_xlpm.x)),""))</f>
        <v>2426</v>
      </c>
      <c r="AG23" s="31" cm="1">
        <f t="array" ref="AG23">IF(A23="","",IFERROR(_xlfn.LET(_xlpm.rp,[1]RP!$A$2:$A$706,_xlpm.dt,IFERROR(DATE(--LEFT([1]RP!$B$2:$B$706,4),--MID([1]RP!$B$2:$B$706,6,2),--MID([1]RP!$B$2:$B$706,9,2)),0),_xlpm.qid,UPPER(SUBSTITUTE(SUBSTITUTE(SUBSTITUTE(SUBSTITUTE([1]RP!$Q$2:$Q$706,".",""),"-","")," ",""),"O","0")),_xlpm.eid,UPPER(SUBSTITUTE(SUBSTITUTE(SUBSTITUTE(SUBSTITUTE(Z23,".",""),"-","")," ",""),"O","0")),_xlpm.qnm,UPPER(SUBSTITUTE(SUBSTITUTE(SUBSTITUTE(SUBSTITUTE(SUBSTITUTE([1]RP!$R$2:$R$706,".",""),"-","")," ",""),"Á","A"),"É","E")),_xlpm.enm,UPPER(SUBSTITUTE(SUBSTITUTE(SUBSTITUTE(SUBSTITUTE(SUBSTITUTE(B23,".",""),"-",""),"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23,"CONTRATO ")," DE")&amp;"/2026",_xlpm.dm,--ISNUMBER(SEARCH(_xlpm.num,_xlpm.sup)),_xlpm.dif,IF(_xlpm.ok,(1-_xlpm.dm)*1000000+IF(AND(ISNUMBER(M23),M23&gt;0),ABS(_xlpm.dt-M23),0),1E+99),_xlpm.md,MIN(_xlpm.dif),INDEX(_xlfn._xlws.FILTER(_xlpm.rp,(_xlpm.ok&gt;0)*(_xlpm.dif=_xlpm.md)),1)),""))</f>
        <v>6126</v>
      </c>
      <c r="AH23" s="32" cm="1">
        <f t="array" ref="AH23">IF(AF23="","",IFERROR(_xlfn.LET(_xlpm.x,INDEX([1]CDP!$B$2:$B$322,MATCH(AF23&amp;"",[1]CDP!$A$2:$A$322&amp;"",0)),IF(ISNUMBER(_xlpm.x),_xlpm.x,DATE(--LEFT(_xlpm.x,4),--MID(_xlpm.x,6,2),--MID(_xlpm.x,9,2)))),""))</f>
        <v>46029</v>
      </c>
    </row>
    <row r="24" spans="1:34" ht="61.5" customHeight="1" x14ac:dyDescent="0.35">
      <c r="A24" s="1" t="str">
        <f>[1]Contratos!A24</f>
        <v>CONTRATO 23 DE 2026</v>
      </c>
      <c r="B24" s="10" t="s">
        <v>68</v>
      </c>
      <c r="C24" s="10" t="str">
        <f>[1]Contratos!E24</f>
        <v>Prestación de servicios profesionales o Apoyo a la gestión</v>
      </c>
      <c r="D24" s="10" t="s">
        <v>69</v>
      </c>
      <c r="E24" s="11" t="str">
        <f>[1]Contratos!F24</f>
        <v>Prestación de servicios profesionales en materia de diseño e implementación de la política y la estrategia de gestión del conocimiento y la innovación alineada con MIPG, diseño y desarrollo de estrategias de pedagogía regulatoria y definición de acciones para adelantar actividades de investigación aplicada, de acuerdo con el Plan de Acción institucional para la vigencia 2026</v>
      </c>
      <c r="F24" s="12">
        <v>59225000</v>
      </c>
      <c r="G24" s="13">
        <f>[1]Contratos!G24</f>
        <v>59225000</v>
      </c>
      <c r="H24" s="14" t="str">
        <f>IFERROR(VLOOKUP(A24, [1]Otrosí!A:F, 6, FALSE), "0")</f>
        <v>0</v>
      </c>
      <c r="I24" s="13">
        <f t="shared" si="0"/>
        <v>59225000</v>
      </c>
      <c r="J24" s="15">
        <f>IFERROR(_xlfn.LET(_xlpm.x,_xlfn.LET(_xlpm.n,--_xlfn.TEXTBEFORE(_xlfn.TEXTAFTER(A24,"CONTRATO ")," DE"),_xlpm.c,"CONTRATO "&amp;TEXT(_xlpm.n,"00")&amp;" DE 2026",_xlpm.h,'[1]SECOP II'!$A$1:$CQ$1,_xlpm.d,'[1]SECOP II'!$A$2:$CQ$94,_xlpm.r,INDEX(_xlpm.d,0,MATCH("Referencia del Contrato",_xlpm.h,0)),INDEX(_xlpm.d,MATCH(_xlpm.c,_xlpm.r,0),MATCH("Valor Pagado",_xlpm.h,0))),_xlfn.NUMBERVALUE(SUBSTITUTE(_xlpm.x,"$",""),".",",")),"")</f>
        <v>43775000</v>
      </c>
      <c r="K24" s="16">
        <f t="shared" si="1"/>
        <v>15450000</v>
      </c>
      <c r="L24" s="17">
        <f t="shared" si="2"/>
        <v>0.73913043478260865</v>
      </c>
      <c r="M24" s="18">
        <f>[1]Contratos!O24</f>
        <v>46038</v>
      </c>
      <c r="N24" s="18">
        <f>[1]Contratos!P24</f>
        <v>46038</v>
      </c>
      <c r="O24" s="18">
        <f>[1]Contratos!Q24</f>
        <v>46387</v>
      </c>
      <c r="P24" s="18" t="str">
        <f>IFERROR(VLOOKUP(A24, [1]Otrosí!A:L, 7, FALSE), "N/A")</f>
        <v>N/A</v>
      </c>
      <c r="Q24" s="19" t="str">
        <f>IFERROR(_xlfn.LET(_xlpm.h,'[1]SECOP II'!$A$1:$CQ$1,_xlpm.d,'[1]SECOP II'!$A$2:$CQ$94,_xlpm.r,INDEX(_xlpm.d,0,MATCH("Referencia del Contrato",_xlpm.h,0)),INDEX(_xlpm.d,MATCH("CONTRATO 23 DE 2026",_xlpm.r,0),MATCH("Tipo de Contrato",_xlpm.h,0))),"")</f>
        <v>Prestación de servicios</v>
      </c>
      <c r="R24" s="20" t="str">
        <f>IFERROR(_xlfn.LET(_xlpm.n,--_xlfn.TEXTBEFORE(_xlfn.TEXTAFTER(A24,"CONTRATO ")," DE"),_xlpm.c,"CONTRATO "&amp;TEXT(_xlpm.n,"00")&amp;" DE 2026",_xlpm.h,'[1]SECOP II'!$A$1:$CQ$1,_xlpm.d,'[1]SECOP II'!$A$2:$CQ$94,_xlpm.r,INDEX(_xlpm.d,0,MATCH("Referencia del Contrato",_xlpm.h,0)),INDEX(_xlpm.d,MATCH(_xlpm.c,_xlpm.r,0),MATCH("Destino Gasto",_xlpm.h,0))),"")</f>
        <v>Inversión</v>
      </c>
      <c r="S24" s="21" t="str">
        <f>IFERROR(_xlfn.LET(_xlpm.n,--_xlfn.TEXTBEFORE(_xlfn.TEXTAFTER(A24,"CONTRATO ")," DE"),_xlpm.c,"CONTRATO "&amp;TEXT(_xlpm.n,"00")&amp;" DE 2026",_xlpm.h,'[1]SECOP II'!$A$1:$CQ$1,_xlpm.d,'[1]SECOP II'!$A$2:$CQ$94,_xlpm.r,INDEX(_xlpm.d,0,MATCH("Referencia del Contrato",_xlpm.h,0)),INDEX(_xlpm.d,MATCH(_xlpm.c,_xlpm.r,0),MATCH("URLProceso",_xlpm.h,0))),"")</f>
        <v>https://community.secop.gov.co/Public/Tendering/OpportunityDetail/Index?noticeUID=CO1.NTC.9527648&amp;isFromPublicArea=True&amp;isModal=true&amp;asPopupView=true</v>
      </c>
      <c r="T24" s="22" t="str">
        <f>IFERROR(_xlfn.LET(_xlpm.h,'[1]SECOP II'!$A$1:$CQ$1,_xlpm.d,'[1]SECOP II'!$A$2:$CQ$94,_xlpm.r,INDEX(_xlpm.d,0,MATCH("Referencia del Contrato",_xlpm.h,0)),INDEX(_xlpm.d,MATCH("CONTRATO 23 DE 2026",_xlpm.r,0),MATCH("Estado Contrato",_xlpm.h,0))),"")</f>
        <v>En ejecución</v>
      </c>
      <c r="U24" s="10" t="str">
        <f>[1]Contratos!C24</f>
        <v>PN</v>
      </c>
      <c r="V24" s="10" t="str">
        <f>[1]Contratos!I24</f>
        <v>PROSPECTIVA ESTRATÉGICA</v>
      </c>
      <c r="W24" s="23" t="str">
        <f>[1]Contratos!J24</f>
        <v>VICTOR BALDRICH</v>
      </c>
      <c r="X24" s="24" cm="1">
        <f t="array" ref="X24">IFERROR(VLOOKUP(W24,[1]COORD!$A$27:$B$67, 2, FALSE),[1]COORD!$B$27:$B$67)</f>
        <v>1019105701</v>
      </c>
      <c r="Y24" s="25" t="s">
        <v>35</v>
      </c>
      <c r="Z24" s="26">
        <v>1000137216</v>
      </c>
      <c r="AA24" s="27" t="str" cm="1">
        <f t="array" ref="AA24">IF(Y24&lt;&gt;"NIT","N/A",IF(OR(Z24="",Z24="N/A"),"N/A",IF(ISERROR(VALUE(IF(ISNUMBER(FIND("-",TEXT(Z24,"@"))),LEFT(TEXT(Z24,"@"),FIND("-",TEXT(Z24,"@"))-1),TEXT(Z24,"@")))),"N/A",IF(MOD(SUMPRODUCT(VALUE(MID(TEXT(VALUE(IF(ISNUMBER(FIND("-",TEXT(Z24,"@"))),LEFT(TEXT(Z24,"@"),FIND("-",TEXT(Z24,"@"))-1),TEXT(Z24,"@"))),"000000000000000"),{15,14,13,12,11,10,9,8,7,6,5,4,3,2,1},1)),{3,7,13,17,19,23,29,37,41,43,47,53,59,67,71}),11)=0,0,IF(MOD(SUMPRODUCT(VALUE(MID(TEXT(VALUE(IF(ISNUMBER(FIND("-",TEXT(Z24,"@"))),LEFT(TEXT(Z24,"@"),FIND("-",TEXT(Z24,"@"))-1),TEXT(Z24,"@"))),"000000000000000"),{15,14,13,12,11,10,9,8,7,6,5,4,3,2,1},1)),{3,7,13,17,19,23,29,37,41,43,47,53,59,67,71}),11)=1,1,11-MOD(SUMPRODUCT(VALUE(MID(TEXT(VALUE(IF(ISNUMBER(FIND("-",TEXT(Z24,"@"))),LEFT(TEXT(Z24,"@"),FIND("-",TEXT(Z24,"@"))-1),TEXT(Z24,"@"))),"000000000000000"),{15,14,13,12,11,10,9,8,7,6,5,4,3,2,1},1)),{3,7,13,17,19,23,29,37,41,43,47,53,59,67,71}),11))))))</f>
        <v>N/A</v>
      </c>
      <c r="AB24" s="27">
        <v>80101505</v>
      </c>
      <c r="AC24" s="29" t="str">
        <f>[1]Contratos!Z24</f>
        <v>NO</v>
      </c>
      <c r="AD24" s="30">
        <f t="shared" si="3"/>
        <v>349</v>
      </c>
      <c r="AE24" s="31" t="s">
        <v>37</v>
      </c>
      <c r="AF24" s="31" t="str" cm="1">
        <f t="array" ref="AF24">IF(AG24="","",IFERROR(_xlfn.LET(_xlpm.x,INDEX([1]RP!$Z$2:$Z$706,MATCH(AG24&amp;"",[1]RP!$A$2:$A$706&amp;"",0)),IF(_xlpm.x="","",_xlpm.x)),""))</f>
        <v>2326</v>
      </c>
      <c r="AG24" s="31" cm="1">
        <f t="array" ref="AG24">IF(A24="","",IFERROR(_xlfn.LET(_xlpm.rp,[1]RP!$A$2:$A$706,_xlpm.dt,IFERROR(DATE(--LEFT([1]RP!$B$2:$B$706,4),--MID([1]RP!$B$2:$B$706,6,2),--MID([1]RP!$B$2:$B$706,9,2)),0),_xlpm.qid,UPPER(SUBSTITUTE(SUBSTITUTE(SUBSTITUTE(SUBSTITUTE([1]RP!$Q$2:$Q$706,".",""),"-","")," ",""),"O","0")),_xlpm.eid,UPPER(SUBSTITUTE(SUBSTITUTE(SUBSTITUTE(SUBSTITUTE(Z24,".",""),"-","")," ",""),"O","0")),_xlpm.qnm,UPPER(SUBSTITUTE(SUBSTITUTE(SUBSTITUTE(SUBSTITUTE(SUBSTITUTE([1]RP!$R$2:$R$706,".",""),"-","")," ",""),"Á","A"),"É","E")),_xlpm.enm,UPPER(SUBSTITUTE(SUBSTITUTE(SUBSTITUTE(SUBSTITUTE(SUBSTITUTE(B24,".",""),"-",""),"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24,"CONTRATO ")," DE")&amp;"/2026",_xlpm.dm,--ISNUMBER(SEARCH(_xlpm.num,_xlpm.sup)),_xlpm.dif,IF(_xlpm.ok,(1-_xlpm.dm)*1000000+IF(AND(ISNUMBER(M24),M24&gt;0),ABS(_xlpm.dt-M24),0),1E+99),_xlpm.md,MIN(_xlpm.dif),INDEX(_xlfn._xlws.FILTER(_xlpm.rp,(_xlpm.ok&gt;0)*(_xlpm.dif=_xlpm.md)),1)),""))</f>
        <v>5726</v>
      </c>
      <c r="AH24" s="32" cm="1">
        <f t="array" ref="AH24">IF(AF24="","",IFERROR(_xlfn.LET(_xlpm.x,INDEX([1]CDP!$B$2:$B$322,MATCH(AF24&amp;"",[1]CDP!$A$2:$A$322&amp;"",0)),IF(ISNUMBER(_xlpm.x),_xlpm.x,DATE(--LEFT(_xlpm.x,4),--MID(_xlpm.x,6,2),--MID(_xlpm.x,9,2)))),""))</f>
        <v>46029</v>
      </c>
    </row>
    <row r="25" spans="1:34" ht="61.5" customHeight="1" x14ac:dyDescent="0.35">
      <c r="A25" s="1" t="str">
        <f>[1]Contratos!A25</f>
        <v>CONTRATO 24 DE 2026</v>
      </c>
      <c r="B25" s="10" t="s">
        <v>70</v>
      </c>
      <c r="C25" s="10" t="str">
        <f>[1]Contratos!E25</f>
        <v>Prestación de servicios profesionales o Apoyo a la gestión</v>
      </c>
      <c r="D25" s="10" t="s">
        <v>71</v>
      </c>
      <c r="E25" s="11" t="str">
        <f>[1]Contratos!F25</f>
        <v>prestación de servicios profesionales para brindar apoyo jurídico en el desarrollo de actividades misionales de la CRC, principalmente las asociadas a la revisión del marco regulatorio sobre el pluralismo y la imparcialidad informativos, la reglamentación de la Ley 2489 de 2025,  la implementación de acciones de inspección, vigilancia y control de contenidos y la protección de los derechos de los televidentes, en el marco de los proyectos contemplados en la Agenda Regulatoria y el Plan de Acción 2026.</v>
      </c>
      <c r="F25" s="12">
        <v>138112700</v>
      </c>
      <c r="G25" s="13">
        <f>[1]Contratos!G25</f>
        <v>138112700</v>
      </c>
      <c r="H25" s="14" t="str">
        <f>IFERROR(VLOOKUP(A25, [1]Otrosí!A:F, 6, FALSE), "0")</f>
        <v>0</v>
      </c>
      <c r="I25" s="13">
        <f t="shared" si="0"/>
        <v>138112700</v>
      </c>
      <c r="J25" s="15">
        <f>IFERROR(_xlfn.LET(_xlpm.x,_xlfn.LET(_xlpm.n,--_xlfn.TEXTBEFORE(_xlfn.TEXTAFTER(A25,"CONTRATO ")," DE"),_xlpm.c,"CONTRATO "&amp;TEXT(_xlpm.n,"00")&amp;" DE 2026",_xlpm.h,'[1]SECOP II'!$A$1:$CQ$1,_xlpm.d,'[1]SECOP II'!$A$2:$CQ$94,_xlpm.r,INDEX(_xlpm.d,0,MATCH("Referencia del Contrato",_xlpm.h,0)),INDEX(_xlpm.d,MATCH(_xlpm.c,_xlpm.r,0),MATCH("Valor Pagado",_xlpm.h,0))),_xlfn.NUMBERVALUE(SUBSTITUTE(_xlpm.x,"$",""),".",",")),"")</f>
        <v>102083300</v>
      </c>
      <c r="K25" s="16">
        <f t="shared" si="1"/>
        <v>36029400</v>
      </c>
      <c r="L25" s="17">
        <f t="shared" si="2"/>
        <v>0.73913043478260865</v>
      </c>
      <c r="M25" s="18">
        <f>[1]Contratos!O25</f>
        <v>46036</v>
      </c>
      <c r="N25" s="18">
        <f>[1]Contratos!P25</f>
        <v>46038</v>
      </c>
      <c r="O25" s="18">
        <f>[1]Contratos!Q25</f>
        <v>46387</v>
      </c>
      <c r="P25" s="18" t="str">
        <f>IFERROR(VLOOKUP(A25, [1]Otrosí!A:L, 7, FALSE), "N/A")</f>
        <v>N/A</v>
      </c>
      <c r="Q25" s="19" t="str">
        <f>IFERROR(_xlfn.LET(_xlpm.h,'[1]SECOP II'!$A$1:$CQ$1,_xlpm.d,'[1]SECOP II'!$A$2:$CQ$94,_xlpm.r,INDEX(_xlpm.d,0,MATCH("Referencia del Contrato",_xlpm.h,0)),INDEX(_xlpm.d,MATCH("CONTRATO 24 DE 2026",_xlpm.r,0),MATCH("Tipo de Contrato",_xlpm.h,0))),"")</f>
        <v>Prestación de servicios</v>
      </c>
      <c r="R25" s="20" t="str">
        <f>IFERROR(_xlfn.LET(_xlpm.n,--_xlfn.TEXTBEFORE(_xlfn.TEXTAFTER(A25,"CONTRATO ")," DE"),_xlpm.c,"CONTRATO "&amp;TEXT(_xlpm.n,"00")&amp;" DE 2026",_xlpm.h,'[1]SECOP II'!$A$1:$CQ$1,_xlpm.d,'[1]SECOP II'!$A$2:$CQ$94,_xlpm.r,INDEX(_xlpm.d,0,MATCH("Referencia del Contrato",_xlpm.h,0)),INDEX(_xlpm.d,MATCH(_xlpm.c,_xlpm.r,0),MATCH("Destino Gasto",_xlpm.h,0))),"")</f>
        <v>Inversión</v>
      </c>
      <c r="S25" s="21" t="str">
        <f>IFERROR(_xlfn.LET(_xlpm.n,--_xlfn.TEXTBEFORE(_xlfn.TEXTAFTER(A25,"CONTRATO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https://community.secop.gov.co/Public/Tendering/OpportunityDetail/Index?noticeUID=CO1.NTC.9488101&amp;isFromPublicArea=True&amp;isModal=true&amp;asPopupView=true</v>
      </c>
      <c r="T25" s="22" t="str">
        <f>IFERROR(_xlfn.LET(_xlpm.h,'[1]SECOP II'!$A$1:$CQ$1,_xlpm.d,'[1]SECOP II'!$A$2:$CQ$94,_xlpm.r,INDEX(_xlpm.d,0,MATCH("Referencia del Contrato",_xlpm.h,0)),INDEX(_xlpm.d,MATCH("CONTRATO 24 DE 2026",_xlpm.r,0),MATCH("Estado Contrato",_xlpm.h,0))),"")</f>
        <v>En ejecución</v>
      </c>
      <c r="U25" s="10" t="str">
        <f>[1]Contratos!C25</f>
        <v>PN</v>
      </c>
      <c r="V25" s="10" t="str">
        <f>[1]Contratos!I25</f>
        <v>GESTIÓN JURÍDICA / PEDAGOGÍA REGULATORIA</v>
      </c>
      <c r="W25" s="23" t="str">
        <f>[1]Contratos!J25</f>
        <v>VICTOR SANDOVAL /RICARDO RAMÍREZ</v>
      </c>
      <c r="X25" s="24" t="str" cm="1">
        <f t="array" ref="X25">IFERROR(VLOOKUP(W25,[1]COORD!$A$27:$B$67, 2, FALSE),[1]COORD!$B$27:$B$67)</f>
        <v>1026264211 / 79444533</v>
      </c>
      <c r="Y25" s="25" t="s">
        <v>35</v>
      </c>
      <c r="Z25" s="26">
        <v>37088350</v>
      </c>
      <c r="AA25" s="27" t="str" cm="1">
        <f t="array" ref="AA25">IF(Y25&lt;&gt;"NIT","N/A",IF(OR(Z25="",Z25="N/A"),"N/A",IF(ISERROR(VALUE(IF(ISNUMBER(FIND("-",TEXT(Z25,"@"))),LEFT(TEXT(Z25,"@"),FIND("-",TEXT(Z25,"@"))-1),TEXT(Z25,"@")))),"N/A",IF(MOD(SUMPRODUCT(VALUE(MID(TEXT(VALUE(IF(ISNUMBER(FIND("-",TEXT(Z25,"@"))),LEFT(TEXT(Z25,"@"),FIND("-",TEXT(Z25,"@"))-1),TEXT(Z25,"@"))),"000000000000000"),{15,14,13,12,11,10,9,8,7,6,5,4,3,2,1},1)),{3,7,13,17,19,23,29,37,41,43,47,53,59,67,71}),11)=0,0,IF(MOD(SUMPRODUCT(VALUE(MID(TEXT(VALUE(IF(ISNUMBER(FIND("-",TEXT(Z25,"@"))),LEFT(TEXT(Z25,"@"),FIND("-",TEXT(Z25,"@"))-1),TEXT(Z25,"@"))),"000000000000000"),{15,14,13,12,11,10,9,8,7,6,5,4,3,2,1},1)),{3,7,13,17,19,23,29,37,41,43,47,53,59,67,71}),11)=1,1,11-MOD(SUMPRODUCT(VALUE(MID(TEXT(VALUE(IF(ISNUMBER(FIND("-",TEXT(Z25,"@"))),LEFT(TEXT(Z25,"@"),FIND("-",TEXT(Z25,"@"))-1),TEXT(Z25,"@"))),"000000000000000"),{15,14,13,12,11,10,9,8,7,6,5,4,3,2,1},1)),{3,7,13,17,19,23,29,37,41,43,47,53,59,67,71}),11))))))</f>
        <v>N/A</v>
      </c>
      <c r="AB25" s="27">
        <v>80121601</v>
      </c>
      <c r="AC25" s="29" t="str">
        <f>[1]Contratos!Z25</f>
        <v>NO</v>
      </c>
      <c r="AD25" s="30">
        <f t="shared" si="3"/>
        <v>351</v>
      </c>
      <c r="AE25" s="31" t="s">
        <v>37</v>
      </c>
      <c r="AF25" s="31" t="str" cm="1">
        <f t="array" ref="AF25">IF(AG25="","",IFERROR(_xlfn.LET(_xlpm.x,INDEX([1]RP!$Z$2:$Z$706,MATCH(AG25&amp;"",[1]RP!$A$2:$A$706&amp;"",0)),IF(_xlpm.x="","",_xlpm.x)),""))</f>
        <v>4526</v>
      </c>
      <c r="AG25" s="31" cm="1">
        <f t="array" ref="AG25">IF(A25="","",IFERROR(_xlfn.LET(_xlpm.rp,[1]RP!$A$2:$A$706,_xlpm.dt,IFERROR(DATE(--LEFT([1]RP!$B$2:$B$706,4),--MID([1]RP!$B$2:$B$706,6,2),--MID([1]RP!$B$2:$B$706,9,2)),0),_xlpm.qid,UPPER(SUBSTITUTE(SUBSTITUTE(SUBSTITUTE(SUBSTITUTE([1]RP!$Q$2:$Q$706,".",""),"-","")," ",""),"O","0")),_xlpm.eid,UPPER(SUBSTITUTE(SUBSTITUTE(SUBSTITUTE(SUBSTITUTE(Z25,".",""),"-","")," ",""),"O","0")),_xlpm.qnm,UPPER(SUBSTITUTE(SUBSTITUTE(SUBSTITUTE(SUBSTITUTE(SUBSTITUTE([1]RP!$R$2:$R$706,".",""),"-","")," ",""),"Á","A"),"É","E")),_xlpm.enm,UPPER(SUBSTITUTE(SUBSTITUTE(SUBSTITUTE(SUBSTITUTE(SUBSTITUTE(B25,".",""),"-",""),"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25,"CONTRATO ")," DE")&amp;"/2026",_xlpm.dm,--ISNUMBER(SEARCH(_xlpm.num,_xlpm.sup)),_xlpm.dif,IF(_xlpm.ok,(1-_xlpm.dm)*1000000+IF(AND(ISNUMBER(M25),M25&gt;0),ABS(_xlpm.dt-M25),0),1E+99),_xlpm.md,MIN(_xlpm.dif),INDEX(_xlfn._xlws.FILTER(_xlpm.rp,(_xlpm.ok&gt;0)*(_xlpm.dif=_xlpm.md)),1)),""))</f>
        <v>3626</v>
      </c>
      <c r="AH25" s="32" cm="1">
        <f t="array" ref="AH25">IF(AF25="","",IFERROR(_xlfn.LET(_xlpm.x,INDEX([1]CDP!$B$2:$B$322,MATCH(AF25&amp;"",[1]CDP!$A$2:$A$322&amp;"",0)),IF(ISNUMBER(_xlpm.x),_xlpm.x,DATE(--LEFT(_xlpm.x,4),--MID(_xlpm.x,6,2),--MID(_xlpm.x,9,2)))),""))</f>
        <v>46030</v>
      </c>
    </row>
    <row r="26" spans="1:34" ht="61.5" customHeight="1" x14ac:dyDescent="0.35">
      <c r="A26" s="1" t="str">
        <f>[1]Contratos!A26</f>
        <v>CONTRATO 25 DE 2026</v>
      </c>
      <c r="B26" s="10" t="s">
        <v>72</v>
      </c>
      <c r="C26" s="10" t="str">
        <f>[1]Contratos!E26</f>
        <v>Prestación de servicios profesionales o Apoyo a la gestión</v>
      </c>
      <c r="D26" s="10" t="s">
        <v>73</v>
      </c>
      <c r="E26" s="11" t="s">
        <v>74</v>
      </c>
      <c r="F26" s="12">
        <v>193794500</v>
      </c>
      <c r="G26" s="13">
        <f>[1]Contratos!G26</f>
        <v>193794500</v>
      </c>
      <c r="H26" s="14" t="str">
        <f>IFERROR(VLOOKUP(A26, [1]Otrosí!A:F, 6, FALSE), "0")</f>
        <v>0</v>
      </c>
      <c r="I26" s="13">
        <f t="shared" si="0"/>
        <v>193794500</v>
      </c>
      <c r="J26" s="15">
        <f>IFERROR(_xlfn.LET(_xlpm.x,_xlfn.LET(_xlpm.n,--_xlfn.TEXTBEFORE(_xlfn.TEXTAFTER(A26,"CONTRATO ")," DE"),_xlpm.c,"CONTRATO "&amp;TEXT(_xlpm.n,"00")&amp;" DE 2026",_xlpm.h,'[1]SECOP II'!$A$1:$CQ$1,_xlpm.d,'[1]SECOP II'!$A$2:$CQ$94,_xlpm.r,INDEX(_xlpm.d,0,MATCH("Referencia del Contrato",_xlpm.h,0)),INDEX(_xlpm.d,MATCH(_xlpm.c,_xlpm.r,0),MATCH("Valor Pagado",_xlpm.h,0))),_xlfn.NUMBERVALUE(SUBSTITUTE(_xlpm.x,"$",""),".",",")),"")</f>
        <v>136431328</v>
      </c>
      <c r="K26" s="16">
        <f t="shared" si="1"/>
        <v>57363172</v>
      </c>
      <c r="L26" s="17">
        <f t="shared" si="2"/>
        <v>0.70399999999999996</v>
      </c>
      <c r="M26" s="18">
        <f>[1]Contratos!O26</f>
        <v>46038</v>
      </c>
      <c r="N26" s="18">
        <f>[1]Contratos!P26</f>
        <v>46045</v>
      </c>
      <c r="O26" s="18">
        <f>[1]Contratos!Q26</f>
        <v>46387</v>
      </c>
      <c r="P26" s="18" t="str">
        <f>IFERROR(VLOOKUP(A26, [1]Otrosí!A:L, 7, FALSE), "N/A")</f>
        <v>N/A</v>
      </c>
      <c r="Q26" s="19" t="str">
        <f>IFERROR(_xlfn.LET(_xlpm.h,'[1]SECOP II'!$A$1:$CQ$1,_xlpm.d,'[1]SECOP II'!$A$2:$CQ$94,_xlpm.r,INDEX(_xlpm.d,0,MATCH("Referencia del Contrato",_xlpm.h,0)),INDEX(_xlpm.d,MATCH("CONTRATO 25 DE 2026",_xlpm.r,0),MATCH("Tipo de Contrato",_xlpm.h,0))),"")</f>
        <v>Prestación de servicios</v>
      </c>
      <c r="R26" s="20" t="str">
        <f>IFERROR(_xlfn.LET(_xlpm.n,--_xlfn.TEXTBEFORE(_xlfn.TEXTAFTER(A26,"CONTRATO ")," DE"),_xlpm.c,"CONTRATO "&amp;TEXT(_xlpm.n,"00")&amp;" DE 2026",_xlpm.h,'[1]SECOP II'!$A$1:$CQ$1,_xlpm.d,'[1]SECOP II'!$A$2:$CQ$94,_xlpm.r,INDEX(_xlpm.d,0,MATCH("Referencia del Contrato",_xlpm.h,0)),INDEX(_xlpm.d,MATCH(_xlpm.c,_xlpm.r,0),MATCH("Destino Gasto",_xlpm.h,0))),"")</f>
        <v>Inversión</v>
      </c>
      <c r="S26" s="21" t="str">
        <f>IFERROR(_xlfn.LET(_xlpm.n,--_xlfn.TEXTBEFORE(_xlfn.TEXTAFTER(A26,"CONTRATO ")," DE"),_xlpm.c,"CONTRATO "&amp;TEXT(_xlpm.n,"00")&amp;" DE 2026",_xlpm.h,'[1]SECOP II'!$A$1:$CQ$1,_xlpm.d,'[1]SECOP II'!$A$2:$CQ$94,_xlpm.r,INDEX(_xlpm.d,0,MATCH("Referencia del Contrato",_xlpm.h,0)),INDEX(_xlpm.d,MATCH(_xlpm.c,_xlpm.r,0),MATCH("URLProceso",_xlpm.h,0))),"")</f>
        <v>https://community.secop.gov.co/Public/Tendering/OpportunityDetail/Index?noticeUID=CO1.NTC.9528964&amp;isFromPublicArea=True&amp;isModal=true&amp;asPopupView=true</v>
      </c>
      <c r="T26" s="22" t="str">
        <f>IFERROR(_xlfn.LET(_xlpm.h,'[1]SECOP II'!$A$1:$CQ$1,_xlpm.d,'[1]SECOP II'!$A$2:$CQ$94,_xlpm.r,INDEX(_xlpm.d,0,MATCH("Referencia del Contrato",_xlpm.h,0)),INDEX(_xlpm.d,MATCH("CONTRATO 25 DE 2026",_xlpm.r,0),MATCH("Estado Contrato",_xlpm.h,0))),"")</f>
        <v>En ejecución</v>
      </c>
      <c r="U26" s="10" t="str">
        <f>[1]Contratos!C26</f>
        <v>PN</v>
      </c>
      <c r="V26" s="10" t="str">
        <f>[1]Contratos!I26</f>
        <v>GESTIÓN JURÍDICA</v>
      </c>
      <c r="W26" s="23" t="str">
        <f>[1]Contratos!J26</f>
        <v>VICTOR SANDOVAL</v>
      </c>
      <c r="X26" s="24" cm="1">
        <f t="array" ref="X26">IFERROR(VLOOKUP(W26,[1]COORD!$A$27:$B$67, 2, FALSE),[1]COORD!$B$27:$B$67)</f>
        <v>1026264211</v>
      </c>
      <c r="Y26" s="25" t="s">
        <v>35</v>
      </c>
      <c r="Z26" s="26">
        <v>79782673</v>
      </c>
      <c r="AA26" s="27" t="str" cm="1">
        <f t="array" ref="AA26">IF(Y26&lt;&gt;"NIT","N/A",IF(OR(Z26="",Z26="N/A"),"N/A",IF(ISERROR(VALUE(IF(ISNUMBER(FIND("-",TEXT(Z26,"@"))),LEFT(TEXT(Z26,"@"),FIND("-",TEXT(Z26,"@"))-1),TEXT(Z26,"@")))),"N/A",IF(MOD(SUMPRODUCT(VALUE(MID(TEXT(VALUE(IF(ISNUMBER(FIND("-",TEXT(Z26,"@"))),LEFT(TEXT(Z26,"@"),FIND("-",TEXT(Z26,"@"))-1),TEXT(Z26,"@"))),"000000000000000"),{15,14,13,12,11,10,9,8,7,6,5,4,3,2,1},1)),{3,7,13,17,19,23,29,37,41,43,47,53,59,67,71}),11)=0,0,IF(MOD(SUMPRODUCT(VALUE(MID(TEXT(VALUE(IF(ISNUMBER(FIND("-",TEXT(Z26,"@"))),LEFT(TEXT(Z26,"@"),FIND("-",TEXT(Z26,"@"))-1),TEXT(Z26,"@"))),"000000000000000"),{15,14,13,12,11,10,9,8,7,6,5,4,3,2,1},1)),{3,7,13,17,19,23,29,37,41,43,47,53,59,67,71}),11)=1,1,11-MOD(SUMPRODUCT(VALUE(MID(TEXT(VALUE(IF(ISNUMBER(FIND("-",TEXT(Z26,"@"))),LEFT(TEXT(Z26,"@"),FIND("-",TEXT(Z26,"@"))-1),TEXT(Z26,"@"))),"000000000000000"),{15,14,13,12,11,10,9,8,7,6,5,4,3,2,1},1)),{3,7,13,17,19,23,29,37,41,43,47,53,59,67,71}),11))))))</f>
        <v>N/A</v>
      </c>
      <c r="AB26" s="27">
        <v>81121500</v>
      </c>
      <c r="AC26" s="29" t="str">
        <f>[1]Contratos!Z26</f>
        <v>NO</v>
      </c>
      <c r="AD26" s="30">
        <f t="shared" si="3"/>
        <v>349</v>
      </c>
      <c r="AE26" s="31" t="s">
        <v>37</v>
      </c>
      <c r="AF26" s="31" t="str" cm="1">
        <f t="array" ref="AF26">IF(AG26="","",IFERROR(_xlfn.LET(_xlpm.x,INDEX([1]RP!$Z$2:$Z$706,MATCH(AG26&amp;"",[1]RP!$A$2:$A$706&amp;"",0)),IF(_xlpm.x="","",_xlpm.x)),""))</f>
        <v>3826</v>
      </c>
      <c r="AG26" s="31" cm="1">
        <f t="array" ref="AG26">IF(A26="","",IFERROR(_xlfn.LET(_xlpm.rp,[1]RP!$A$2:$A$706,_xlpm.dt,IFERROR(DATE(--LEFT([1]RP!$B$2:$B$706,4),--MID([1]RP!$B$2:$B$706,6,2),--MID([1]RP!$B$2:$B$706,9,2)),0),_xlpm.qid,UPPER(SUBSTITUTE(SUBSTITUTE(SUBSTITUTE(SUBSTITUTE([1]RP!$Q$2:$Q$706,".",""),"-","")," ",""),"O","0")),_xlpm.eid,UPPER(SUBSTITUTE(SUBSTITUTE(SUBSTITUTE(SUBSTITUTE(Z26,".",""),"-","")," ",""),"O","0")),_xlpm.qnm,UPPER(SUBSTITUTE(SUBSTITUTE(SUBSTITUTE(SUBSTITUTE(SUBSTITUTE([1]RP!$R$2:$R$706,".",""),"-","")," ",""),"Á","A"),"É","E")),_xlpm.enm,UPPER(SUBSTITUTE(SUBSTITUTE(SUBSTITUTE(SUBSTITUTE(SUBSTITUTE(B26,".",""),"-",""),"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26,"CONTRATO ")," DE")&amp;"/2026",_xlpm.dm,--ISNUMBER(SEARCH(_xlpm.num,_xlpm.sup)),_xlpm.dif,IF(_xlpm.ok,(1-_xlpm.dm)*1000000+IF(AND(ISNUMBER(M26),M26&gt;0),ABS(_xlpm.dt-M26),0),1E+99),_xlpm.md,MIN(_xlpm.dif),INDEX(_xlfn._xlws.FILTER(_xlpm.rp,(_xlpm.ok&gt;0)*(_xlpm.dif=_xlpm.md)),1)),""))</f>
        <v>5826</v>
      </c>
      <c r="AH26" s="32" cm="1">
        <f t="array" ref="AH26">IF(AF26="","",IFERROR(_xlfn.LET(_xlpm.x,INDEX([1]CDP!$B$2:$B$322,MATCH(AF26&amp;"",[1]CDP!$A$2:$A$322&amp;"",0)),IF(ISNUMBER(_xlpm.x),_xlpm.x,DATE(--LEFT(_xlpm.x,4),--MID(_xlpm.x,6,2),--MID(_xlpm.x,9,2)))),""))</f>
        <v>46030</v>
      </c>
    </row>
    <row r="27" spans="1:34" ht="61.5" customHeight="1" x14ac:dyDescent="0.35">
      <c r="A27" s="1" t="str">
        <f>[1]Contratos!A27</f>
        <v>CONTRATO 26 DE 2026</v>
      </c>
      <c r="B27" s="10" t="str">
        <f>[1]Contratos!B27</f>
        <v>TACHYON  CONSULTORES SAS</v>
      </c>
      <c r="C27" s="10" t="str">
        <f>[1]Contratos!E27</f>
        <v>Prestación de servicios profesionales o Apoyo a la gestión</v>
      </c>
      <c r="D27" s="10" t="s">
        <v>75</v>
      </c>
      <c r="E27" s="11" t="str">
        <f>[1]Contratos!F27</f>
        <v>Prestación de servicios profesionales altamente especializados en ingeniería para apoyar técnicamente el desarrollo y análisis de los proyectos regulatorios de la Comisión de Regulación de Comunicaciones en el marco del Plan de Acción 2026 y la Agenda Regulatoria 2026-2027. Este apoyo incluirá actividades técnicas en materia de acceso e interconexión, dimensionamiento y estimación de tráfico, análisis de calidad de los servicios fijos y móviles, evaluación de infraestructura y capacidad de red, estudio del impacto del tráfico de plataformas OTT, análisis de eficiencia espectral, remuneración y cargos de acceso, así como la elaboración de insumos técnicos que soporten decisiones regulatorias</v>
      </c>
      <c r="F27" s="12">
        <v>488766000</v>
      </c>
      <c r="G27" s="13">
        <f>[1]Contratos!G27</f>
        <v>488766000</v>
      </c>
      <c r="H27" s="14">
        <f>IFERROR(VLOOKUP(A27, [1]Otrosí!A:F, 6, FALSE), "0")</f>
        <v>130337600</v>
      </c>
      <c r="I27" s="13">
        <f t="shared" si="0"/>
        <v>619103600</v>
      </c>
      <c r="J27" s="15">
        <f>IFERROR(_xlfn.LET(_xlpm.x,_xlfn.LET(_xlpm.n,--_xlfn.TEXTBEFORE(_xlfn.TEXTAFTER(A27,"CONTRATO ")," DE"),_xlpm.c,"CONTRATO "&amp;TEXT(_xlpm.n,"00")&amp;" DE 2026",_xlpm.h,'[1]SECOP II'!$A$1:$CQ$1,_xlpm.d,'[1]SECOP II'!$A$2:$CQ$94,_xlpm.r,INDEX(_xlpm.d,0,MATCH("Referencia del Contrato",_xlpm.h,0)),INDEX(_xlpm.d,MATCH(_xlpm.c,_xlpm.r,0),MATCH("Valor Pagado",_xlpm.h,0))),_xlfn.NUMBERVALUE(SUBSTITUTE(_xlpm.x,"$",""),".",",")),"")</f>
        <v>446968360.81999999</v>
      </c>
      <c r="K27" s="16">
        <f t="shared" si="1"/>
        <v>172135239.18000001</v>
      </c>
      <c r="L27" s="17">
        <f t="shared" si="2"/>
        <v>0.72196052618657036</v>
      </c>
      <c r="M27" s="18">
        <f>[1]Contratos!O27</f>
        <v>46041</v>
      </c>
      <c r="N27" s="18">
        <f>[1]Contratos!P27</f>
        <v>46048</v>
      </c>
      <c r="O27" s="18">
        <f>[1]Contratos!Q27</f>
        <v>46387</v>
      </c>
      <c r="P27" s="18" t="str">
        <f>IFERROR(VLOOKUP(A27, [1]Otrosí!A:L, 7, FALSE), "N/A")</f>
        <v xml:space="preserve">N/A  </v>
      </c>
      <c r="Q27" s="19" t="str">
        <f>IFERROR(_xlfn.LET(_xlpm.h,'[1]SECOP II'!$A$1:$CQ$1,_xlpm.d,'[1]SECOP II'!$A$2:$CQ$94,_xlpm.r,INDEX(_xlpm.d,0,MATCH("Referencia del Contrato",_xlpm.h,0)),INDEX(_xlpm.d,MATCH("CONTRATO 26 DE 2026",_xlpm.r,0),MATCH("Tipo de Contrato",_xlpm.h,0))),"")</f>
        <v>Prestación de servicios</v>
      </c>
      <c r="R27" s="20" t="str">
        <f>IFERROR(_xlfn.LET(_xlpm.n,--_xlfn.TEXTBEFORE(_xlfn.TEXTAFTER(A27,"CONTRATO ")," DE"),_xlpm.c,"CONTRATO "&amp;TEXT(_xlpm.n,"00")&amp;" DE 2026",_xlpm.h,'[1]SECOP II'!$A$1:$CQ$1,_xlpm.d,'[1]SECOP II'!$A$2:$CQ$94,_xlpm.r,INDEX(_xlpm.d,0,MATCH("Referencia del Contrato",_xlpm.h,0)),INDEX(_xlpm.d,MATCH(_xlpm.c,_xlpm.r,0),MATCH("Destino Gasto",_xlpm.h,0))),"")</f>
        <v>Inversión</v>
      </c>
      <c r="S27" s="21" t="str">
        <f>IFERROR(_xlfn.LET(_xlpm.n,--_xlfn.TEXTBEFORE(_xlfn.TEXTAFTER(A27,"CONTRATO ")," DE"),_xlpm.c,"CONTRATO "&amp;TEXT(_xlpm.n,"00")&amp;" DE 2026",_xlpm.h,'[1]SECOP II'!$A$1:$CQ$1,_xlpm.d,'[1]SECOP II'!$A$2:$CQ$94,_xlpm.r,INDEX(_xlpm.d,0,MATCH("Referencia del Contrato",_xlpm.h,0)),INDEX(_xlpm.d,MATCH(_xlpm.c,_xlpm.r,0),MATCH("URLProceso",_xlpm.h,0))),"")</f>
        <v>https://community.secop.gov.co/Public/Tendering/OpportunityDetail/Index?noticeUID=CO1.NTC.9606893&amp;isFromPublicArea=True&amp;isModal=true&amp;asPopupView=true</v>
      </c>
      <c r="T27" s="22" t="str">
        <f>IFERROR(_xlfn.LET(_xlpm.h,'[1]SECOP II'!$A$1:$CQ$1,_xlpm.d,'[1]SECOP II'!$A$2:$CQ$94,_xlpm.r,INDEX(_xlpm.d,0,MATCH("Referencia del Contrato",_xlpm.h,0)),INDEX(_xlpm.d,MATCH("CONTRATO 26 DE 2026",_xlpm.r,0),MATCH("Estado Contrato",_xlpm.h,0))),"")</f>
        <v>Modificado</v>
      </c>
      <c r="U27" s="10" t="str">
        <f>[1]Contratos!C27</f>
        <v>PJ</v>
      </c>
      <c r="V27" s="10" t="str">
        <f>[1]Contratos!I27</f>
        <v>DISEÑO REGULATORIO / GESTIÓN JURÍDICA</v>
      </c>
      <c r="W27" s="23" t="str">
        <f>[1]Contratos!J27</f>
        <v>ALEJANDRA ARENAS / VICTOR SANDOVAL</v>
      </c>
      <c r="X27" s="24" t="str" cm="1">
        <f t="array" ref="X27">IFERROR(VLOOKUP(W27,[1]COORD!$A$27:$B$67, 2, FALSE),[1]COORD!$B$27:$B$67)</f>
        <v>1020749984 / 1026264211</v>
      </c>
      <c r="Y27" s="25" t="s">
        <v>57</v>
      </c>
      <c r="Z27" s="26">
        <v>900247322</v>
      </c>
      <c r="AA27" s="27" cm="1">
        <f t="array" ref="AA27">IF(Y27&lt;&gt;"NIT","N/A",IF(OR(Z27="",Z27="N/A"),"N/A",IF(ISERROR(VALUE(IF(ISNUMBER(FIND("-",TEXT(Z27,"@"))),LEFT(TEXT(Z27,"@"),FIND("-",TEXT(Z27,"@"))-1),TEXT(Z27,"@")))),"N/A",IF(MOD(SUMPRODUCT(VALUE(MID(TEXT(VALUE(IF(ISNUMBER(FIND("-",TEXT(Z27,"@"))),LEFT(TEXT(Z27,"@"),FIND("-",TEXT(Z27,"@"))-1),TEXT(Z27,"@"))),"000000000000000"),{15,14,13,12,11,10,9,8,7,6,5,4,3,2,1},1)),{3,7,13,17,19,23,29,37,41,43,47,53,59,67,71}),11)=0,0,IF(MOD(SUMPRODUCT(VALUE(MID(TEXT(VALUE(IF(ISNUMBER(FIND("-",TEXT(Z27,"@"))),LEFT(TEXT(Z27,"@"),FIND("-",TEXT(Z27,"@"))-1),TEXT(Z27,"@"))),"000000000000000"),{15,14,13,12,11,10,9,8,7,6,5,4,3,2,1},1)),{3,7,13,17,19,23,29,37,41,43,47,53,59,67,71}),11)=1,1,11-MOD(SUMPRODUCT(VALUE(MID(TEXT(VALUE(IF(ISNUMBER(FIND("-",TEXT(Z27,"@"))),LEFT(TEXT(Z27,"@"),FIND("-",TEXT(Z27,"@"))-1),TEXT(Z27,"@"))),"000000000000000"),{15,14,13,12,11,10,9,8,7,6,5,4,3,2,1},1)),{3,7,13,17,19,23,29,37,41,43,47,53,59,67,71}),11))))))</f>
        <v>2</v>
      </c>
      <c r="AB27" s="27">
        <v>81101700</v>
      </c>
      <c r="AC27" s="29" t="str">
        <f>[1]Contratos!Z27</f>
        <v>N/A</v>
      </c>
      <c r="AD27" s="30">
        <f t="shared" si="3"/>
        <v>346</v>
      </c>
      <c r="AE27" s="31" t="s">
        <v>37</v>
      </c>
      <c r="AF27" s="31" t="str" cm="1">
        <f t="array" ref="AF27">IF(AG27="","",IFERROR(_xlfn.LET(_xlpm.x,INDEX([1]RP!$Z$2:$Z$706,MATCH(AG27&amp;"",[1]RP!$A$2:$A$706&amp;"",0)),IF(_xlpm.x="","",_xlpm.x)),""))</f>
        <v>4326</v>
      </c>
      <c r="AG27" s="31" cm="1">
        <f t="array" ref="AG27">IF(A27="","",IFERROR(_xlfn.LET(_xlpm.rp,[1]RP!$A$2:$A$706,_xlpm.dt,IFERROR(DATE(--LEFT([1]RP!$B$2:$B$706,4),--MID([1]RP!$B$2:$B$706,6,2),--MID([1]RP!$B$2:$B$706,9,2)),0),_xlpm.qid,UPPER(SUBSTITUTE(SUBSTITUTE(SUBSTITUTE(SUBSTITUTE([1]RP!$Q$2:$Q$706,".",""),"-","")," ",""),"O","0")),_xlpm.eid,UPPER(SUBSTITUTE(SUBSTITUTE(SUBSTITUTE(SUBSTITUTE(Z27,".",""),"-","")," ",""),"O","0")),_xlpm.qnm,UPPER(SUBSTITUTE(SUBSTITUTE(SUBSTITUTE(SUBSTITUTE(SUBSTITUTE([1]RP!$R$2:$R$706,".",""),"-","")," ",""),"Á","A"),"É","E")),_xlpm.enm,UPPER(SUBSTITUTE(SUBSTITUTE(SUBSTITUTE(SUBSTITUTE(SUBSTITUTE(B27,".",""),"-",""),"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27,"CONTRATO ")," DE")&amp;"/2026",_xlpm.dm,--ISNUMBER(SEARCH(_xlpm.num,_xlpm.sup)),_xlpm.dif,IF(_xlpm.ok,(1-_xlpm.dm)*1000000+IF(AND(ISNUMBER(M27),M27&gt;0),ABS(_xlpm.dt-M27),0),1E+99),_xlpm.md,MIN(_xlpm.dif),INDEX(_xlfn._xlws.FILTER(_xlpm.rp,(_xlpm.ok&gt;0)*(_xlpm.dif=_xlpm.md)),1)),""))</f>
        <v>6826</v>
      </c>
      <c r="AH27" s="32" cm="1">
        <f t="array" ref="AH27">IF(AF27="","",IFERROR(_xlfn.LET(_xlpm.x,INDEX([1]CDP!$B$2:$B$322,MATCH(AF27&amp;"",[1]CDP!$A$2:$A$322&amp;"",0)),IF(ISNUMBER(_xlpm.x),_xlpm.x,DATE(--LEFT(_xlpm.x,4),--MID(_xlpm.x,6,2),--MID(_xlpm.x,9,2)))),""))</f>
        <v>46030</v>
      </c>
    </row>
    <row r="28" spans="1:34" ht="61.5" customHeight="1" x14ac:dyDescent="0.35">
      <c r="A28" s="1" t="str">
        <f>[1]Contratos!A28</f>
        <v>CONTRATO 27 DE 2026</v>
      </c>
      <c r="B28" s="10" t="str">
        <f>[1]Contratos!B28</f>
        <v>JAIRO MONTEALEGRE</v>
      </c>
      <c r="C28" s="10" t="str">
        <f>[1]Contratos!E28</f>
        <v>Prestación de servicios profesionales o Apoyo a la gestión</v>
      </c>
      <c r="D28" s="10" t="s">
        <v>76</v>
      </c>
      <c r="E28" s="11" t="str">
        <f>[1]Contratos!F28</f>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y al Plan de Acción año 2026, en cumplimiento de la Política de Gobierno Digital.</v>
      </c>
      <c r="F28" s="12">
        <v>157074000</v>
      </c>
      <c r="G28" s="13">
        <f>[1]Contratos!G28</f>
        <v>157074000</v>
      </c>
      <c r="H28" s="14" t="str">
        <f>IFERROR(VLOOKUP(A28, [1]Otrosí!A:F, 6, FALSE), "0")</f>
        <v>0</v>
      </c>
      <c r="I28" s="13">
        <f t="shared" si="0"/>
        <v>157074000</v>
      </c>
      <c r="J28" s="15">
        <f>IFERROR(_xlfn.LET(_xlpm.x,_xlfn.LET(_xlpm.n,--_xlfn.TEXTBEFORE(_xlfn.TEXTAFTER(A28,"CONTRATO ")," DE"),_xlpm.c,"CONTRATO "&amp;TEXT(_xlpm.n,"00")&amp;" DE 2026",_xlpm.h,'[1]SECOP II'!$A$1:$CQ$1,_xlpm.d,'[1]SECOP II'!$A$2:$CQ$94,_xlpm.r,INDEX(_xlpm.d,0,MATCH("Referencia del Contrato",_xlpm.h,0)),INDEX(_xlpm.d,MATCH(_xlpm.c,_xlpm.r,0),MATCH("Valor Pagado",_xlpm.h,0))),_xlfn.NUMBERVALUE(SUBSTITUTE(_xlpm.x,"$",""),".",",")),"")</f>
        <v>116098168</v>
      </c>
      <c r="K28" s="16">
        <f t="shared" si="1"/>
        <v>40975832</v>
      </c>
      <c r="L28" s="17">
        <f t="shared" si="2"/>
        <v>0.73913039713765483</v>
      </c>
      <c r="M28" s="18">
        <f>[1]Contratos!O28</f>
        <v>46037</v>
      </c>
      <c r="N28" s="18">
        <f>[1]Contratos!P28</f>
        <v>46038</v>
      </c>
      <c r="O28" s="18">
        <f>[1]Contratos!Q28</f>
        <v>46387</v>
      </c>
      <c r="P28" s="18" t="str">
        <f>IFERROR(VLOOKUP(A28, [1]Otrosí!A:L, 7, FALSE), "N/A")</f>
        <v>N/A</v>
      </c>
      <c r="Q28" s="19" t="str">
        <f>IFERROR(_xlfn.LET(_xlpm.h,'[1]SECOP II'!$A$1:$CQ$1,_xlpm.d,'[1]SECOP II'!$A$2:$CQ$94,_xlpm.r,INDEX(_xlpm.d,0,MATCH("Referencia del Contrato",_xlpm.h,0)),INDEX(_xlpm.d,MATCH("CONTRATO 27 DE 2026",_xlpm.r,0),MATCH("Tipo de Contrato",_xlpm.h,0))),"")</f>
        <v>Prestación de servicios</v>
      </c>
      <c r="R28" s="20" t="str">
        <f>IFERROR(_xlfn.LET(_xlpm.n,--_xlfn.TEXTBEFORE(_xlfn.TEXTAFTER(A28,"CONTRATO ")," DE"),_xlpm.c,"CONTRATO "&amp;TEXT(_xlpm.n,"00")&amp;" DE 2026",_xlpm.h,'[1]SECOP II'!$A$1:$CQ$1,_xlpm.d,'[1]SECOP II'!$A$2:$CQ$94,_xlpm.r,INDEX(_xlpm.d,0,MATCH("Referencia del Contrato",_xlpm.h,0)),INDEX(_xlpm.d,MATCH(_xlpm.c,_xlpm.r,0),MATCH("Destino Gasto",_xlpm.h,0))),"")</f>
        <v>Inversión</v>
      </c>
      <c r="S28" s="21" t="str">
        <f>IFERROR(_xlfn.LET(_xlpm.n,--_xlfn.TEXTBEFORE(_xlfn.TEXTAFTER(A28,"CONTRATO ")," DE"),_xlpm.c,"CONTRATO "&amp;TEXT(_xlpm.n,"00")&amp;" DE 2026",_xlpm.h,'[1]SECOP II'!$A$1:$CQ$1,_xlpm.d,'[1]SECOP II'!$A$2:$CQ$94,_xlpm.r,INDEX(_xlpm.d,0,MATCH("Referencia del Contrato",_xlpm.h,0)),INDEX(_xlpm.d,MATCH(_xlpm.c,_xlpm.r,0),MATCH("URLProceso",_xlpm.h,0))),"")</f>
        <v>https://community.secop.gov.co/Public/Tendering/OpportunityDetail/Index?noticeUID=CO1.NTC.9511943&amp;isFromPublicArea=True&amp;isModal=true&amp;asPopupView=true</v>
      </c>
      <c r="T28" s="22" t="str">
        <f>IFERROR(_xlfn.LET(_xlpm.h,'[1]SECOP II'!$A$1:$CQ$1,_xlpm.d,'[1]SECOP II'!$A$2:$CQ$94,_xlpm.r,INDEX(_xlpm.d,0,MATCH("Referencia del Contrato",_xlpm.h,0)),INDEX(_xlpm.d,MATCH("CONTRATO 27 DE 2026",_xlpm.r,0),MATCH("Estado Contrato",_xlpm.h,0))),"")</f>
        <v>En ejecución</v>
      </c>
      <c r="U28" s="10" t="str">
        <f>[1]Contratos!C28</f>
        <v>PN</v>
      </c>
      <c r="V28" s="10" t="str">
        <f>[1]Contratos!I28</f>
        <v>TECNOLOGÍAS Y SIST. DE INF.</v>
      </c>
      <c r="W28" s="23" t="str">
        <f>[1]Contratos!J28</f>
        <v>INGRID PICÓN</v>
      </c>
      <c r="X28" s="24" cm="1">
        <f t="array" ref="X28">IFERROR(VLOOKUP(W28,[1]COORD!$A$27:$B$67, 2, FALSE),[1]COORD!$B$27:$B$67)</f>
        <v>60372503</v>
      </c>
      <c r="Y28" s="25" t="s">
        <v>35</v>
      </c>
      <c r="Z28" s="26">
        <v>79652208</v>
      </c>
      <c r="AA28" s="27" t="str" cm="1">
        <f t="array" ref="AA28">IF(Y28&lt;&gt;"NIT","N/A",IF(OR(Z28="",Z28="N/A"),"N/A",IF(ISERROR(VALUE(IF(ISNUMBER(FIND("-",TEXT(Z28,"@"))),LEFT(TEXT(Z28,"@"),FIND("-",TEXT(Z28,"@"))-1),TEXT(Z28,"@")))),"N/A",IF(MOD(SUMPRODUCT(VALUE(MID(TEXT(VALUE(IF(ISNUMBER(FIND("-",TEXT(Z28,"@"))),LEFT(TEXT(Z28,"@"),FIND("-",TEXT(Z28,"@"))-1),TEXT(Z28,"@"))),"000000000000000"),{15,14,13,12,11,10,9,8,7,6,5,4,3,2,1},1)),{3,7,13,17,19,23,29,37,41,43,47,53,59,67,71}),11)=0,0,IF(MOD(SUMPRODUCT(VALUE(MID(TEXT(VALUE(IF(ISNUMBER(FIND("-",TEXT(Z28,"@"))),LEFT(TEXT(Z28,"@"),FIND("-",TEXT(Z28,"@"))-1),TEXT(Z28,"@"))),"000000000000000"),{15,14,13,12,11,10,9,8,7,6,5,4,3,2,1},1)),{3,7,13,17,19,23,29,37,41,43,47,53,59,67,71}),11)=1,1,11-MOD(SUMPRODUCT(VALUE(MID(TEXT(VALUE(IF(ISNUMBER(FIND("-",TEXT(Z28,"@"))),LEFT(TEXT(Z28,"@"),FIND("-",TEXT(Z28,"@"))-1),TEXT(Z28,"@"))),"000000000000000"),{15,14,13,12,11,10,9,8,7,6,5,4,3,2,1},1)),{3,7,13,17,19,23,29,37,41,43,47,53,59,67,71}),11))))))</f>
        <v>N/A</v>
      </c>
      <c r="AB28" s="27">
        <v>81111507</v>
      </c>
      <c r="AC28" s="29" t="str">
        <f>[1]Contratos!Z28</f>
        <v>NO</v>
      </c>
      <c r="AD28" s="30">
        <f t="shared" si="3"/>
        <v>350</v>
      </c>
      <c r="AE28" s="31" t="s">
        <v>58</v>
      </c>
      <c r="AF28" s="31" t="str" cm="1">
        <f t="array" ref="AF28">IF(AG28="","",IFERROR(_xlfn.LET(_xlpm.x,INDEX([1]RP!$Z$2:$Z$706,MATCH(AG28&amp;"",[1]RP!$A$2:$A$706&amp;"",0)),IF(_xlpm.x="","",_xlpm.x)),""))</f>
        <v>2826</v>
      </c>
      <c r="AG28" s="31" cm="1">
        <f t="array" ref="AG28">IF(A28="","",IFERROR(_xlfn.LET(_xlpm.rp,[1]RP!$A$2:$A$706,_xlpm.dt,IFERROR(DATE(--LEFT([1]RP!$B$2:$B$706,4),--MID([1]RP!$B$2:$B$706,6,2),--MID([1]RP!$B$2:$B$706,9,2)),0),_xlpm.qid,UPPER(SUBSTITUTE(SUBSTITUTE(SUBSTITUTE(SUBSTITUTE([1]RP!$Q$2:$Q$706,".",""),"-","")," ",""),"O","0")),_xlpm.eid,UPPER(SUBSTITUTE(SUBSTITUTE(SUBSTITUTE(SUBSTITUTE(Z28,".",""),"-","")," ",""),"O","0")),_xlpm.qnm,UPPER(SUBSTITUTE(SUBSTITUTE(SUBSTITUTE(SUBSTITUTE(SUBSTITUTE([1]RP!$R$2:$R$706,".",""),"-","")," ",""),"Á","A"),"É","E")),_xlpm.enm,UPPER(SUBSTITUTE(SUBSTITUTE(SUBSTITUTE(SUBSTITUTE(SUBSTITUTE(B28,".",""),"-",""),"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28,"CONTRATO ")," DE")&amp;"/2026",_xlpm.dm,--ISNUMBER(SEARCH(_xlpm.num,_xlpm.sup)),_xlpm.dif,IF(_xlpm.ok,(1-_xlpm.dm)*1000000+IF(AND(ISNUMBER(M28),M28&gt;0),ABS(_xlpm.dt-M28),0),1E+99),_xlpm.md,MIN(_xlpm.dif),INDEX(_xlfn._xlws.FILTER(_xlpm.rp,(_xlpm.ok&gt;0)*(_xlpm.dif=_xlpm.md)),1)),""))</f>
        <v>4526</v>
      </c>
      <c r="AH28" s="32" cm="1">
        <f t="array" ref="AH28">IF(AF28="","",IFERROR(_xlfn.LET(_xlpm.x,INDEX([1]CDP!$B$2:$B$322,MATCH(AF28&amp;"",[1]CDP!$A$2:$A$322&amp;"",0)),IF(ISNUMBER(_xlpm.x),_xlpm.x,DATE(--LEFT(_xlpm.x,4),--MID(_xlpm.x,6,2),--MID(_xlpm.x,9,2)))),""))</f>
        <v>46030</v>
      </c>
    </row>
    <row r="29" spans="1:34" ht="61.5" customHeight="1" x14ac:dyDescent="0.35">
      <c r="A29" s="1" t="str">
        <f>[1]Contratos!A29</f>
        <v>CONTRATO 28 DE 2026</v>
      </c>
      <c r="B29" s="10" t="str">
        <f>[1]Contratos!B29</f>
        <v>WILMER ALEJANDRO OSORIO</v>
      </c>
      <c r="C29" s="10" t="str">
        <f>[1]Contratos!E29</f>
        <v>Prestación de servicios profesionales o Apoyo a la gestión</v>
      </c>
      <c r="D29" s="10" t="s">
        <v>77</v>
      </c>
      <c r="E29" s="11" t="str">
        <f>[1]Contratos!F29</f>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y al Plan de Acción año 2026, en cumplimiento de la Política de Gobierno Digital.</v>
      </c>
      <c r="F29" s="12">
        <v>157074000</v>
      </c>
      <c r="G29" s="13">
        <f>[1]Contratos!G29</f>
        <v>157074000</v>
      </c>
      <c r="H29" s="14" t="str">
        <f>IFERROR(VLOOKUP(A29, [1]Otrosí!A:F, 6, FALSE), "0")</f>
        <v>0</v>
      </c>
      <c r="I29" s="13">
        <f t="shared" si="0"/>
        <v>157074000</v>
      </c>
      <c r="J29" s="15">
        <f>IFERROR(_xlfn.LET(_xlpm.x,_xlfn.LET(_xlpm.n,--_xlfn.TEXTBEFORE(_xlfn.TEXTAFTER(A29,"CONTRATO ")," DE"),_xlpm.c,"CONTRATO "&amp;TEXT(_xlpm.n,"00")&amp;" DE 2026",_xlpm.h,'[1]SECOP II'!$A$1:$CQ$1,_xlpm.d,'[1]SECOP II'!$A$2:$CQ$94,_xlpm.r,INDEX(_xlpm.d,0,MATCH("Referencia del Contrato",_xlpm.h,0)),INDEX(_xlpm.d,MATCH(_xlpm.c,_xlpm.r,0),MATCH("Valor Pagado",_xlpm.h,0))),_xlfn.NUMBERVALUE(SUBSTITUTE(_xlpm.x,"$",""),".",",")),"")</f>
        <v>116098168</v>
      </c>
      <c r="K29" s="16">
        <f t="shared" si="1"/>
        <v>40975832</v>
      </c>
      <c r="L29" s="17">
        <f t="shared" si="2"/>
        <v>0.73913039713765483</v>
      </c>
      <c r="M29" s="18">
        <f>[1]Contratos!O29</f>
        <v>46037</v>
      </c>
      <c r="N29" s="18">
        <f>[1]Contratos!P29</f>
        <v>46038</v>
      </c>
      <c r="O29" s="18">
        <f>[1]Contratos!Q29</f>
        <v>46387</v>
      </c>
      <c r="P29" s="18" t="str">
        <f>IFERROR(VLOOKUP(A29, [1]Otrosí!A:L, 7, FALSE), "N/A")</f>
        <v>N/A</v>
      </c>
      <c r="Q29" s="19" t="str">
        <f>IFERROR(_xlfn.LET(_xlpm.h,'[1]SECOP II'!$A$1:$CQ$1,_xlpm.d,'[1]SECOP II'!$A$2:$CQ$94,_xlpm.r,INDEX(_xlpm.d,0,MATCH("Referencia del Contrato",_xlpm.h,0)),INDEX(_xlpm.d,MATCH("CONTRATO 28 DE 2026",_xlpm.r,0),MATCH("Tipo de Contrato",_xlpm.h,0))),"")</f>
        <v>Prestación de servicios</v>
      </c>
      <c r="R29" s="20" t="str">
        <f>IFERROR(_xlfn.LET(_xlpm.n,--_xlfn.TEXTBEFORE(_xlfn.TEXTAFTER(A29,"CONTRATO ")," DE"),_xlpm.c,"CONTRATO "&amp;TEXT(_xlpm.n,"00")&amp;" DE 2026",_xlpm.h,'[1]SECOP II'!$A$1:$CQ$1,_xlpm.d,'[1]SECOP II'!$A$2:$CQ$94,_xlpm.r,INDEX(_xlpm.d,0,MATCH("Referencia del Contrato",_xlpm.h,0)),INDEX(_xlpm.d,MATCH(_xlpm.c,_xlpm.r,0),MATCH("Destino Gasto",_xlpm.h,0))),"")</f>
        <v>Inversión</v>
      </c>
      <c r="S29" s="21" t="str">
        <f>IFERROR(_xlfn.LET(_xlpm.n,--_xlfn.TEXTBEFORE(_xlfn.TEXTAFTER(A29,"CONTRATO ")," DE"),_xlpm.c,"CONTRATO "&amp;TEXT(_xlpm.n,"00")&amp;" DE 2026",_xlpm.h,'[1]SECOP II'!$A$1:$CQ$1,_xlpm.d,'[1]SECOP II'!$A$2:$CQ$94,_xlpm.r,INDEX(_xlpm.d,0,MATCH("Referencia del Contrato",_xlpm.h,0)),INDEX(_xlpm.d,MATCH(_xlpm.c,_xlpm.r,0),MATCH("URLProceso",_xlpm.h,0))),"")</f>
        <v>https://community.secop.gov.co/Public/Tendering/OpportunityDetail/Index?noticeUID=CO1.NTC.9513223&amp;isFromPublicArea=True&amp;isModal=true&amp;asPopupView=true</v>
      </c>
      <c r="T29" s="22" t="str">
        <f>IFERROR(_xlfn.LET(_xlpm.h,'[1]SECOP II'!$A$1:$CQ$1,_xlpm.d,'[1]SECOP II'!$A$2:$CQ$94,_xlpm.r,INDEX(_xlpm.d,0,MATCH("Referencia del Contrato",_xlpm.h,0)),INDEX(_xlpm.d,MATCH("CONTRATO 28 DE 2026",_xlpm.r,0),MATCH("Estado Contrato",_xlpm.h,0))),"")</f>
        <v>En ejecución</v>
      </c>
      <c r="U29" s="10" t="str">
        <f>[1]Contratos!C29</f>
        <v>PN</v>
      </c>
      <c r="V29" s="10" t="str">
        <f>[1]Contratos!I29</f>
        <v>TECNOLOGÍAS Y SIST. DE INF.</v>
      </c>
      <c r="W29" s="23" t="str">
        <f>[1]Contratos!J29</f>
        <v>INGRID PICÓN</v>
      </c>
      <c r="X29" s="24" cm="1">
        <f t="array" ref="X29">IFERROR(VLOOKUP(W29,[1]COORD!$A$27:$B$67, 2, FALSE),[1]COORD!$B$27:$B$67)</f>
        <v>60372503</v>
      </c>
      <c r="Y29" s="25" t="s">
        <v>35</v>
      </c>
      <c r="Z29" s="26">
        <v>1075229443</v>
      </c>
      <c r="AA29" s="27" t="str" cm="1">
        <f t="array" ref="AA29">IF(Y29&lt;&gt;"NIT","N/A",IF(OR(Z29="",Z29="N/A"),"N/A",IF(ISERROR(VALUE(IF(ISNUMBER(FIND("-",TEXT(Z29,"@"))),LEFT(TEXT(Z29,"@"),FIND("-",TEXT(Z29,"@"))-1),TEXT(Z29,"@")))),"N/A",IF(MOD(SUMPRODUCT(VALUE(MID(TEXT(VALUE(IF(ISNUMBER(FIND("-",TEXT(Z29,"@"))),LEFT(TEXT(Z29,"@"),FIND("-",TEXT(Z29,"@"))-1),TEXT(Z29,"@"))),"000000000000000"),{15,14,13,12,11,10,9,8,7,6,5,4,3,2,1},1)),{3,7,13,17,19,23,29,37,41,43,47,53,59,67,71}),11)=0,0,IF(MOD(SUMPRODUCT(VALUE(MID(TEXT(VALUE(IF(ISNUMBER(FIND("-",TEXT(Z29,"@"))),LEFT(TEXT(Z29,"@"),FIND("-",TEXT(Z29,"@"))-1),TEXT(Z29,"@"))),"000000000000000"),{15,14,13,12,11,10,9,8,7,6,5,4,3,2,1},1)),{3,7,13,17,19,23,29,37,41,43,47,53,59,67,71}),11)=1,1,11-MOD(SUMPRODUCT(VALUE(MID(TEXT(VALUE(IF(ISNUMBER(FIND("-",TEXT(Z29,"@"))),LEFT(TEXT(Z29,"@"),FIND("-",TEXT(Z29,"@"))-1),TEXT(Z29,"@"))),"000000000000000"),{15,14,13,12,11,10,9,8,7,6,5,4,3,2,1},1)),{3,7,13,17,19,23,29,37,41,43,47,53,59,67,71}),11))))))</f>
        <v>N/A</v>
      </c>
      <c r="AB29" s="27">
        <v>81111508</v>
      </c>
      <c r="AC29" s="29" t="str">
        <f>[1]Contratos!Z29</f>
        <v>NO</v>
      </c>
      <c r="AD29" s="30">
        <f t="shared" si="3"/>
        <v>350</v>
      </c>
      <c r="AE29" s="31" t="s">
        <v>58</v>
      </c>
      <c r="AF29" s="31" t="str" cm="1">
        <f t="array" ref="AF29">IF(AG29="","",IFERROR(_xlfn.LET(_xlpm.x,INDEX([1]RP!$Z$2:$Z$706,MATCH(AG29&amp;"",[1]RP!$A$2:$A$706&amp;"",0)),IF(_xlpm.x="","",_xlpm.x)),""))</f>
        <v>2726</v>
      </c>
      <c r="AG29" s="31" cm="1">
        <f t="array" ref="AG29">IF(A29="","",IFERROR(_xlfn.LET(_xlpm.rp,[1]RP!$A$2:$A$706,_xlpm.dt,IFERROR(DATE(--LEFT([1]RP!$B$2:$B$706,4),--MID([1]RP!$B$2:$B$706,6,2),--MID([1]RP!$B$2:$B$706,9,2)),0),_xlpm.qid,UPPER(SUBSTITUTE(SUBSTITUTE(SUBSTITUTE(SUBSTITUTE([1]RP!$Q$2:$Q$706,".",""),"-","")," ",""),"O","0")),_xlpm.eid,UPPER(SUBSTITUTE(SUBSTITUTE(SUBSTITUTE(SUBSTITUTE(Z29,".",""),"-","")," ",""),"O","0")),_xlpm.qnm,UPPER(SUBSTITUTE(SUBSTITUTE(SUBSTITUTE(SUBSTITUTE(SUBSTITUTE([1]RP!$R$2:$R$706,".",""),"-","")," ",""),"Á","A"),"É","E")),_xlpm.enm,UPPER(SUBSTITUTE(SUBSTITUTE(SUBSTITUTE(SUBSTITUTE(SUBSTITUTE(B29,".",""),"-",""),"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29,"CONTRATO ")," DE")&amp;"/2026",_xlpm.dm,--ISNUMBER(SEARCH(_xlpm.num,_xlpm.sup)),_xlpm.dif,IF(_xlpm.ok,(1-_xlpm.dm)*1000000+IF(AND(ISNUMBER(M29),M29&gt;0),ABS(_xlpm.dt-M29),0),1E+99),_xlpm.md,MIN(_xlpm.dif),INDEX(_xlfn._xlws.FILTER(_xlpm.rp,(_xlpm.ok&gt;0)*(_xlpm.dif=_xlpm.md)),1)),""))</f>
        <v>4626</v>
      </c>
      <c r="AH29" s="32" cm="1">
        <f t="array" ref="AH29">IF(AF29="","",IFERROR(_xlfn.LET(_xlpm.x,INDEX([1]CDP!$B$2:$B$322,MATCH(AF29&amp;"",[1]CDP!$A$2:$A$322&amp;"",0)),IF(ISNUMBER(_xlpm.x),_xlpm.x,DATE(--LEFT(_xlpm.x,4),--MID(_xlpm.x,6,2),--MID(_xlpm.x,9,2)))),""))</f>
        <v>46030</v>
      </c>
    </row>
    <row r="30" spans="1:34" ht="61.5" customHeight="1" x14ac:dyDescent="0.35">
      <c r="A30" s="1" t="str">
        <f>[1]Contratos!A30</f>
        <v>CONTRATO 29 DE 2026</v>
      </c>
      <c r="B30" s="10" t="str">
        <f>[1]Contratos!B30</f>
        <v xml:space="preserve">OMAR DUARTE </v>
      </c>
      <c r="C30" s="10" t="str">
        <f>[1]Contratos!E30</f>
        <v>Prestación de servicios profesionales o Apoyo a la gestión</v>
      </c>
      <c r="D30" s="10" t="s">
        <v>78</v>
      </c>
      <c r="E30" s="11" t="str">
        <f>[1]Contratos!F30</f>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y al Plan de Acción año 2026, en cumplimiento de la Política de Gobierno Digital.</v>
      </c>
      <c r="F30" s="12">
        <v>157074000</v>
      </c>
      <c r="G30" s="13">
        <f>[1]Contratos!G30</f>
        <v>157074000</v>
      </c>
      <c r="H30" s="14" t="str">
        <f>IFERROR(VLOOKUP(A30, [1]Otrosí!A:F, 6, FALSE), "0")</f>
        <v>0</v>
      </c>
      <c r="I30" s="13">
        <f t="shared" si="0"/>
        <v>157074000</v>
      </c>
      <c r="J30" s="15">
        <f>IFERROR(_xlfn.LET(_xlpm.x,_xlfn.LET(_xlpm.n,--_xlfn.TEXTBEFORE(_xlfn.TEXTAFTER(A30,"CONTRATO ")," DE"),_xlpm.c,"CONTRATO "&amp;TEXT(_xlpm.n,"00")&amp;" DE 2026",_xlpm.h,'[1]SECOP II'!$A$1:$CQ$1,_xlpm.d,'[1]SECOP II'!$A$2:$CQ$94,_xlpm.r,INDEX(_xlpm.d,0,MATCH("Referencia del Contrato",_xlpm.h,0)),INDEX(_xlpm.d,MATCH(_xlpm.c,_xlpm.r,0),MATCH("Valor Pagado",_xlpm.h,0))),_xlfn.NUMBERVALUE(SUBSTITUTE(_xlpm.x,"$",""),".",",")),"")</f>
        <v>116098168</v>
      </c>
      <c r="K30" s="16">
        <f t="shared" si="1"/>
        <v>40975832</v>
      </c>
      <c r="L30" s="17">
        <f t="shared" si="2"/>
        <v>0.73913039713765483</v>
      </c>
      <c r="M30" s="18">
        <f>[1]Contratos!O30</f>
        <v>46037</v>
      </c>
      <c r="N30" s="18">
        <f>[1]Contratos!P30</f>
        <v>46038</v>
      </c>
      <c r="O30" s="18">
        <f>[1]Contratos!Q30</f>
        <v>46387</v>
      </c>
      <c r="P30" s="18" t="str">
        <f>IFERROR(VLOOKUP(A30, [1]Otrosí!A:L, 7, FALSE), "N/A")</f>
        <v>N/A</v>
      </c>
      <c r="Q30" s="19" t="str">
        <f>IFERROR(_xlfn.LET(_xlpm.h,'[1]SECOP II'!$A$1:$CQ$1,_xlpm.d,'[1]SECOP II'!$A$2:$CQ$94,_xlpm.r,INDEX(_xlpm.d,0,MATCH("Referencia del Contrato",_xlpm.h,0)),INDEX(_xlpm.d,MATCH("CONTRATO 29 DE 2026",_xlpm.r,0),MATCH("Tipo de Contrato",_xlpm.h,0))),"")</f>
        <v>Prestación de servicios</v>
      </c>
      <c r="R30" s="20" t="str">
        <f>IFERROR(_xlfn.LET(_xlpm.n,--_xlfn.TEXTBEFORE(_xlfn.TEXTAFTER(A30,"CONTRATO ")," DE"),_xlpm.c,"CONTRATO "&amp;TEXT(_xlpm.n,"00")&amp;" DE 2026",_xlpm.h,'[1]SECOP II'!$A$1:$CQ$1,_xlpm.d,'[1]SECOP II'!$A$2:$CQ$94,_xlpm.r,INDEX(_xlpm.d,0,MATCH("Referencia del Contrato",_xlpm.h,0)),INDEX(_xlpm.d,MATCH(_xlpm.c,_xlpm.r,0),MATCH("Destino Gasto",_xlpm.h,0))),"")</f>
        <v>Inversión</v>
      </c>
      <c r="S30" s="21" t="str">
        <f>IFERROR(_xlfn.LET(_xlpm.n,--_xlfn.TEXTBEFORE(_xlfn.TEXTAFTER(A30,"CONTRATO ")," DE"),_xlpm.c,"CONTRATO "&amp;TEXT(_xlpm.n,"00")&amp;" DE 2026",_xlpm.h,'[1]SECOP II'!$A$1:$CQ$1,_xlpm.d,'[1]SECOP II'!$A$2:$CQ$94,_xlpm.r,INDEX(_xlpm.d,0,MATCH("Referencia del Contrato",_xlpm.h,0)),INDEX(_xlpm.d,MATCH(_xlpm.c,_xlpm.r,0),MATCH("URLProceso",_xlpm.h,0))),"")</f>
        <v>https://community.secop.gov.co/Public/Tendering/OpportunityDetail/Index?noticeUID=CO1.NTC.9516912&amp;isFromPublicArea=True&amp;isModal=true&amp;asPopupView=true</v>
      </c>
      <c r="T30" s="22" t="str">
        <f>IFERROR(_xlfn.LET(_xlpm.h,'[1]SECOP II'!$A$1:$CQ$1,_xlpm.d,'[1]SECOP II'!$A$2:$CQ$94,_xlpm.r,INDEX(_xlpm.d,0,MATCH("Referencia del Contrato",_xlpm.h,0)),INDEX(_xlpm.d,MATCH("CONTRATO 29 DE 2026",_xlpm.r,0),MATCH("Estado Contrato",_xlpm.h,0))),"")</f>
        <v>En ejecución</v>
      </c>
      <c r="U30" s="10" t="str">
        <f>[1]Contratos!C30</f>
        <v>PN</v>
      </c>
      <c r="V30" s="10" t="str">
        <f>[1]Contratos!I30</f>
        <v>TECNOLOGÍAS Y SIST. DE INF.</v>
      </c>
      <c r="W30" s="23" t="str">
        <f>[1]Contratos!J30</f>
        <v>INGRID PICÓN</v>
      </c>
      <c r="X30" s="24" cm="1">
        <f t="array" ref="X30">IFERROR(VLOOKUP(W30,[1]COORD!$A$27:$B$67, 2, FALSE),[1]COORD!$B$27:$B$67)</f>
        <v>60372503</v>
      </c>
      <c r="Y30" s="25" t="s">
        <v>35</v>
      </c>
      <c r="Z30" s="26">
        <v>6664398</v>
      </c>
      <c r="AA30" s="27" t="str" cm="1">
        <f t="array" ref="AA30">IF(Y30&lt;&gt;"NIT","N/A",IF(OR(Z30="",Z30="N/A"),"N/A",IF(ISERROR(VALUE(IF(ISNUMBER(FIND("-",TEXT(Z30,"@"))),LEFT(TEXT(Z30,"@"),FIND("-",TEXT(Z30,"@"))-1),TEXT(Z30,"@")))),"N/A",IF(MOD(SUMPRODUCT(VALUE(MID(TEXT(VALUE(IF(ISNUMBER(FIND("-",TEXT(Z30,"@"))),LEFT(TEXT(Z30,"@"),FIND("-",TEXT(Z30,"@"))-1),TEXT(Z30,"@"))),"000000000000000"),{15,14,13,12,11,10,9,8,7,6,5,4,3,2,1},1)),{3,7,13,17,19,23,29,37,41,43,47,53,59,67,71}),11)=0,0,IF(MOD(SUMPRODUCT(VALUE(MID(TEXT(VALUE(IF(ISNUMBER(FIND("-",TEXT(Z30,"@"))),LEFT(TEXT(Z30,"@"),FIND("-",TEXT(Z30,"@"))-1),TEXT(Z30,"@"))),"000000000000000"),{15,14,13,12,11,10,9,8,7,6,5,4,3,2,1},1)),{3,7,13,17,19,23,29,37,41,43,47,53,59,67,71}),11)=1,1,11-MOD(SUMPRODUCT(VALUE(MID(TEXT(VALUE(IF(ISNUMBER(FIND("-",TEXT(Z30,"@"))),LEFT(TEXT(Z30,"@"),FIND("-",TEXT(Z30,"@"))-1),TEXT(Z30,"@"))),"000000000000000"),{15,14,13,12,11,10,9,8,7,6,5,4,3,2,1},1)),{3,7,13,17,19,23,29,37,41,43,47,53,59,67,71}),11))))))</f>
        <v>N/A</v>
      </c>
      <c r="AB30" s="27">
        <v>81111508</v>
      </c>
      <c r="AC30" s="29" t="str">
        <f>[1]Contratos!Z30</f>
        <v>NO</v>
      </c>
      <c r="AD30" s="30">
        <f t="shared" si="3"/>
        <v>350</v>
      </c>
      <c r="AE30" s="31" t="s">
        <v>58</v>
      </c>
      <c r="AF30" s="31" t="str" cm="1">
        <f t="array" ref="AF30">IF(AG30="","",IFERROR(_xlfn.LET(_xlpm.x,INDEX([1]RP!$Z$2:$Z$706,MATCH(AG30&amp;"",[1]RP!$A$2:$A$706&amp;"",0)),IF(_xlpm.x="","",_xlpm.x)),""))</f>
        <v>3026</v>
      </c>
      <c r="AG30" s="31" cm="1">
        <f t="array" ref="AG30">IF(A30="","",IFERROR(_xlfn.LET(_xlpm.rp,[1]RP!$A$2:$A$706,_xlpm.dt,IFERROR(DATE(--LEFT([1]RP!$B$2:$B$706,4),--MID([1]RP!$B$2:$B$706,6,2),--MID([1]RP!$B$2:$B$706,9,2)),0),_xlpm.qid,UPPER(SUBSTITUTE(SUBSTITUTE(SUBSTITUTE(SUBSTITUTE([1]RP!$Q$2:$Q$706,".",""),"-","")," ",""),"O","0")),_xlpm.eid,UPPER(SUBSTITUTE(SUBSTITUTE(SUBSTITUTE(SUBSTITUTE(Z30,".",""),"-","")," ",""),"O","0")),_xlpm.qnm,UPPER(SUBSTITUTE(SUBSTITUTE(SUBSTITUTE(SUBSTITUTE(SUBSTITUTE([1]RP!$R$2:$R$706,".",""),"-","")," ",""),"Á","A"),"É","E")),_xlpm.enm,UPPER(SUBSTITUTE(SUBSTITUTE(SUBSTITUTE(SUBSTITUTE(SUBSTITUTE(B30,".",""),"-",""),"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30,"CONTRATO ")," DE")&amp;"/2026",_xlpm.dm,--ISNUMBER(SEARCH(_xlpm.num,_xlpm.sup)),_xlpm.dif,IF(_xlpm.ok,(1-_xlpm.dm)*1000000+IF(AND(ISNUMBER(M30),M30&gt;0),ABS(_xlpm.dt-M30),0),1E+99),_xlpm.md,MIN(_xlpm.dif),INDEX(_xlfn._xlws.FILTER(_xlpm.rp,(_xlpm.ok&gt;0)*(_xlpm.dif=_xlpm.md)),1)),""))</f>
        <v>4726</v>
      </c>
      <c r="AH30" s="32" cm="1">
        <f t="array" ref="AH30">IF(AF30="","",IFERROR(_xlfn.LET(_xlpm.x,INDEX([1]CDP!$B$2:$B$322,MATCH(AF30&amp;"",[1]CDP!$A$2:$A$322&amp;"",0)),IF(ISNUMBER(_xlpm.x),_xlpm.x,DATE(--LEFT(_xlpm.x,4),--MID(_xlpm.x,6,2),--MID(_xlpm.x,9,2)))),""))</f>
        <v>46030</v>
      </c>
    </row>
    <row r="31" spans="1:34" ht="61.5" customHeight="1" x14ac:dyDescent="0.35">
      <c r="A31" s="1" t="str">
        <f>[1]Contratos!A31</f>
        <v>CONTRATO 30 DE 2026</v>
      </c>
      <c r="B31" s="10" t="str">
        <f>[1]Contratos!B31</f>
        <v xml:space="preserve">JOHAN RINCON </v>
      </c>
      <c r="C31" s="10" t="str">
        <f>[1]Contratos!E31</f>
        <v>Prestación de servicios profesionales o Apoyo a la gestión</v>
      </c>
      <c r="D31" s="10" t="s">
        <v>79</v>
      </c>
      <c r="E31" s="11" t="str">
        <f>[1]Contratos!F31</f>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y al Plan de Acción año 2026, en cumplimiento de la Política de Gobierno Digital.</v>
      </c>
      <c r="F31" s="12">
        <v>157074000</v>
      </c>
      <c r="G31" s="13">
        <f>[1]Contratos!G31</f>
        <v>157074000</v>
      </c>
      <c r="H31" s="14" t="str">
        <f>IFERROR(VLOOKUP(A31, [1]Otrosí!A:F, 6, FALSE), "0")</f>
        <v>0</v>
      </c>
      <c r="I31" s="13">
        <f t="shared" si="0"/>
        <v>157074000</v>
      </c>
      <c r="J31" s="15">
        <f>IFERROR(_xlfn.LET(_xlpm.x,_xlfn.LET(_xlpm.n,--_xlfn.TEXTBEFORE(_xlfn.TEXTAFTER(A31,"CONTRATO ")," DE"),_xlpm.c,"CONTRATO "&amp;TEXT(_xlpm.n,"00")&amp;" DE 2026",_xlpm.h,'[1]SECOP II'!$A$1:$CQ$1,_xlpm.d,'[1]SECOP II'!$A$2:$CQ$94,_xlpm.r,INDEX(_xlpm.d,0,MATCH("Referencia del Contrato",_xlpm.h,0)),INDEX(_xlpm.d,MATCH(_xlpm.c,_xlpm.r,0),MATCH("Valor Pagado",_xlpm.h,0))),_xlfn.NUMBERVALUE(SUBSTITUTE(_xlpm.x,"$",""),".",",")),"")</f>
        <v>116098168</v>
      </c>
      <c r="K31" s="16">
        <f t="shared" si="1"/>
        <v>40975832</v>
      </c>
      <c r="L31" s="17">
        <f t="shared" si="2"/>
        <v>0.73913039713765483</v>
      </c>
      <c r="M31" s="18">
        <f>[1]Contratos!O31</f>
        <v>46037</v>
      </c>
      <c r="N31" s="18">
        <f>[1]Contratos!P31</f>
        <v>46038</v>
      </c>
      <c r="O31" s="18">
        <f>[1]Contratos!Q31</f>
        <v>46387</v>
      </c>
      <c r="P31" s="18" t="str">
        <f>IFERROR(VLOOKUP(A31, [1]Otrosí!A:L, 7, FALSE), "N/A")</f>
        <v>N/A</v>
      </c>
      <c r="Q31" s="19" t="str">
        <f>IFERROR(_xlfn.LET(_xlpm.h,'[1]SECOP II'!$A$1:$CQ$1,_xlpm.d,'[1]SECOP II'!$A$2:$CQ$94,_xlpm.r,INDEX(_xlpm.d,0,MATCH("Referencia del Contrato",_xlpm.h,0)),INDEX(_xlpm.d,MATCH("CONTRATO 30 DE 2026",_xlpm.r,0),MATCH("Tipo de Contrato",_xlpm.h,0))),"")</f>
        <v>Prestación de servicios</v>
      </c>
      <c r="R31" s="20" t="str">
        <f>IFERROR(_xlfn.LET(_xlpm.n,--_xlfn.TEXTBEFORE(_xlfn.TEXTAFTER(A31,"CONTRATO ")," DE"),_xlpm.c,"CONTRATO "&amp;TEXT(_xlpm.n,"00")&amp;" DE 2026",_xlpm.h,'[1]SECOP II'!$A$1:$CQ$1,_xlpm.d,'[1]SECOP II'!$A$2:$CQ$94,_xlpm.r,INDEX(_xlpm.d,0,MATCH("Referencia del Contrato",_xlpm.h,0)),INDEX(_xlpm.d,MATCH(_xlpm.c,_xlpm.r,0),MATCH("Destino Gasto",_xlpm.h,0))),"")</f>
        <v>Inversión</v>
      </c>
      <c r="S31" s="21" t="str">
        <f>IFERROR(_xlfn.LET(_xlpm.n,--_xlfn.TEXTBEFORE(_xlfn.TEXTAFTER(A31,"CONTRATO ")," DE"),_xlpm.c,"CONTRATO "&amp;TEXT(_xlpm.n,"00")&amp;" DE 2026",_xlpm.h,'[1]SECOP II'!$A$1:$CQ$1,_xlpm.d,'[1]SECOP II'!$A$2:$CQ$94,_xlpm.r,INDEX(_xlpm.d,0,MATCH("Referencia del Contrato",_xlpm.h,0)),INDEX(_xlpm.d,MATCH(_xlpm.c,_xlpm.r,0),MATCH("URLProceso",_xlpm.h,0))),"")</f>
        <v>https://community.secop.gov.co/Public/Tendering/OpportunityDetail/Index?noticeUID=CO1.NTC.9516969&amp;isFromPublicArea=True&amp;isModal=true&amp;asPopupView=true</v>
      </c>
      <c r="T31" s="22" t="str">
        <f>IFERROR(_xlfn.LET(_xlpm.h,'[1]SECOP II'!$A$1:$CQ$1,_xlpm.d,'[1]SECOP II'!$A$2:$CQ$94,_xlpm.r,INDEX(_xlpm.d,0,MATCH("Referencia del Contrato",_xlpm.h,0)),INDEX(_xlpm.d,MATCH("CONTRATO 30 DE 2026",_xlpm.r,0),MATCH("Estado Contrato",_xlpm.h,0))),"")</f>
        <v>En ejecución</v>
      </c>
      <c r="U31" s="10" t="str">
        <f>[1]Contratos!C31</f>
        <v>PN</v>
      </c>
      <c r="V31" s="10" t="str">
        <f>[1]Contratos!I31</f>
        <v>TECNOLOGÍAS Y SIST. DE INF.</v>
      </c>
      <c r="W31" s="23" t="str">
        <f>[1]Contratos!J31</f>
        <v>INGRID PICÓN</v>
      </c>
      <c r="X31" s="24" cm="1">
        <f t="array" ref="X31">IFERROR(VLOOKUP(W31,[1]COORD!$A$27:$B$67, 2, FALSE),[1]COORD!$B$27:$B$67)</f>
        <v>60372503</v>
      </c>
      <c r="Y31" s="25" t="s">
        <v>35</v>
      </c>
      <c r="Z31" s="26">
        <v>88241099</v>
      </c>
      <c r="AA31" s="27" t="str" cm="1">
        <f t="array" ref="AA31">IF(Y31&lt;&gt;"NIT","N/A",IF(OR(Z31="",Z31="N/A"),"N/A",IF(ISERROR(VALUE(IF(ISNUMBER(FIND("-",TEXT(Z31,"@"))),LEFT(TEXT(Z31,"@"),FIND("-",TEXT(Z31,"@"))-1),TEXT(Z31,"@")))),"N/A",IF(MOD(SUMPRODUCT(VALUE(MID(TEXT(VALUE(IF(ISNUMBER(FIND("-",TEXT(Z31,"@"))),LEFT(TEXT(Z31,"@"),FIND("-",TEXT(Z31,"@"))-1),TEXT(Z31,"@"))),"000000000000000"),{15,14,13,12,11,10,9,8,7,6,5,4,3,2,1},1)),{3,7,13,17,19,23,29,37,41,43,47,53,59,67,71}),11)=0,0,IF(MOD(SUMPRODUCT(VALUE(MID(TEXT(VALUE(IF(ISNUMBER(FIND("-",TEXT(Z31,"@"))),LEFT(TEXT(Z31,"@"),FIND("-",TEXT(Z31,"@"))-1),TEXT(Z31,"@"))),"000000000000000"),{15,14,13,12,11,10,9,8,7,6,5,4,3,2,1},1)),{3,7,13,17,19,23,29,37,41,43,47,53,59,67,71}),11)=1,1,11-MOD(SUMPRODUCT(VALUE(MID(TEXT(VALUE(IF(ISNUMBER(FIND("-",TEXT(Z31,"@"))),LEFT(TEXT(Z31,"@"),FIND("-",TEXT(Z31,"@"))-1),TEXT(Z31,"@"))),"000000000000000"),{15,14,13,12,11,10,9,8,7,6,5,4,3,2,1},1)),{3,7,13,17,19,23,29,37,41,43,47,53,59,67,71}),11))))))</f>
        <v>N/A</v>
      </c>
      <c r="AB31" s="27">
        <v>81111508</v>
      </c>
      <c r="AC31" s="29" t="str">
        <f>[1]Contratos!Z31</f>
        <v>NO</v>
      </c>
      <c r="AD31" s="30">
        <f t="shared" si="3"/>
        <v>350</v>
      </c>
      <c r="AE31" s="31" t="s">
        <v>58</v>
      </c>
      <c r="AF31" s="31" t="str" cm="1">
        <f t="array" ref="AF31">IF(AG31="","",IFERROR(_xlfn.LET(_xlpm.x,INDEX([1]RP!$Z$2:$Z$706,MATCH(AG31&amp;"",[1]RP!$A$2:$A$706&amp;"",0)),IF(_xlpm.x="","",_xlpm.x)),""))</f>
        <v>2926</v>
      </c>
      <c r="AG31" s="31" cm="1">
        <f t="array" ref="AG31">IF(A31="","",IFERROR(_xlfn.LET(_xlpm.rp,[1]RP!$A$2:$A$706,_xlpm.dt,IFERROR(DATE(--LEFT([1]RP!$B$2:$B$706,4),--MID([1]RP!$B$2:$B$706,6,2),--MID([1]RP!$B$2:$B$706,9,2)),0),_xlpm.qid,UPPER(SUBSTITUTE(SUBSTITUTE(SUBSTITUTE(SUBSTITUTE([1]RP!$Q$2:$Q$706,".",""),"-","")," ",""),"O","0")),_xlpm.eid,UPPER(SUBSTITUTE(SUBSTITUTE(SUBSTITUTE(SUBSTITUTE(Z31,".",""),"-","")," ",""),"O","0")),_xlpm.qnm,UPPER(SUBSTITUTE(SUBSTITUTE(SUBSTITUTE(SUBSTITUTE(SUBSTITUTE([1]RP!$R$2:$R$706,".",""),"-","")," ",""),"Á","A"),"É","E")),_xlpm.enm,UPPER(SUBSTITUTE(SUBSTITUTE(SUBSTITUTE(SUBSTITUTE(SUBSTITUTE(B31,".",""),"-",""),"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31,"CONTRATO ")," DE")&amp;"/2026",_xlpm.dm,--ISNUMBER(SEARCH(_xlpm.num,_xlpm.sup)),_xlpm.dif,IF(_xlpm.ok,(1-_xlpm.dm)*1000000+IF(AND(ISNUMBER(M31),M31&gt;0),ABS(_xlpm.dt-M31),0),1E+99),_xlpm.md,MIN(_xlpm.dif),INDEX(_xlfn._xlws.FILTER(_xlpm.rp,(_xlpm.ok&gt;0)*(_xlpm.dif=_xlpm.md)),1)),""))</f>
        <v>5226</v>
      </c>
      <c r="AH31" s="32" cm="1">
        <f t="array" ref="AH31">IF(AF31="","",IFERROR(_xlfn.LET(_xlpm.x,INDEX([1]CDP!$B$2:$B$322,MATCH(AF31&amp;"",[1]CDP!$A$2:$A$322&amp;"",0)),IF(ISNUMBER(_xlpm.x),_xlpm.x,DATE(--LEFT(_xlpm.x,4),--MID(_xlpm.x,6,2),--MID(_xlpm.x,9,2)))),""))</f>
        <v>46030</v>
      </c>
    </row>
    <row r="32" spans="1:34" ht="61.5" customHeight="1" x14ac:dyDescent="0.35">
      <c r="A32" s="1" t="str">
        <f>[1]Contratos!A32</f>
        <v>CONTRATO 31 DE 2026</v>
      </c>
      <c r="B32" s="10" t="str">
        <f>[1]Contratos!B32</f>
        <v>CULLEN INTERNATIONAL</v>
      </c>
      <c r="C32" s="10" t="str">
        <f>[1]Contratos!E32</f>
        <v>Contratación directa</v>
      </c>
      <c r="D32" s="10" t="s">
        <v>80</v>
      </c>
      <c r="E32" s="11" t="str">
        <f>[1]Contratos!F32</f>
        <v xml:space="preserve">Contratar la suscripción a la plataforma MY CULLEN de CULLEN INTERNATIONAL S.A. para el monitoreo de tendencias y desarrollos regulatorios a nivel internacional en materia de servicios de telecomunicaciones, postales y contenidos audiovisuales. </v>
      </c>
      <c r="F32" s="12">
        <v>615230000</v>
      </c>
      <c r="G32" s="13">
        <f>[1]Contratos!G32</f>
        <v>615230000</v>
      </c>
      <c r="H32" s="14" t="str">
        <f>IFERROR(VLOOKUP(A32, [1]Otrosí!A:F, 6, FALSE), "0")</f>
        <v>0</v>
      </c>
      <c r="I32" s="13">
        <f t="shared" si="0"/>
        <v>615230000</v>
      </c>
      <c r="J32" s="15">
        <f>IFERROR(_xlfn.LET(_xlpm.x,_xlfn.LET(_xlpm.n,--_xlfn.TEXTBEFORE(_xlfn.TEXTAFTER(A32,"CONTRATO ")," DE"),_xlpm.c,"CONTRATO "&amp;TEXT(_xlpm.n,"00")&amp;" DE 2026",_xlpm.h,'[1]SECOP II'!$A$1:$CQ$1,_xlpm.d,'[1]SECOP II'!$A$2:$CQ$94,_xlpm.r,INDEX(_xlpm.d,0,MATCH("Referencia del Contrato",_xlpm.h,0)),INDEX(_xlpm.d,MATCH(_xlpm.c,_xlpm.r,0),MATCH("Valor Pagado",_xlpm.h,0))),_xlfn.NUMBERVALUE(SUBSTITUTE(_xlpm.x,"$",""),".",",")),"")</f>
        <v>615230000</v>
      </c>
      <c r="K32" s="16">
        <f t="shared" si="1"/>
        <v>0</v>
      </c>
      <c r="L32" s="17">
        <f t="shared" si="2"/>
        <v>1</v>
      </c>
      <c r="M32" s="18">
        <f>[1]Contratos!O32</f>
        <v>46042</v>
      </c>
      <c r="N32" s="18">
        <f>[1]Contratos!P32</f>
        <v>46055</v>
      </c>
      <c r="O32" s="18">
        <f>[1]Contratos!Q32</f>
        <v>46439</v>
      </c>
      <c r="P32" s="18" t="str">
        <f>IFERROR(VLOOKUP(A32, [1]Otrosí!A:L, 7, FALSE), "N/A")</f>
        <v>N/A</v>
      </c>
      <c r="Q32" s="19" t="str">
        <f>IFERROR(_xlfn.LET(_xlpm.h,'[1]SECOP II'!$A$1:$CQ$1,_xlpm.d,'[1]SECOP II'!$A$2:$CQ$94,_xlpm.r,INDEX(_xlpm.d,0,MATCH("Referencia del Contrato",_xlpm.h,0)),INDEX(_xlpm.d,MATCH("CONTRATO 31 DE 2026",_xlpm.r,0),MATCH("Tipo de Contrato",_xlpm.h,0))),"")</f>
        <v>Otro</v>
      </c>
      <c r="R32" s="20" t="str">
        <f>IFERROR(_xlfn.LET(_xlpm.n,--_xlfn.TEXTBEFORE(_xlfn.TEXTAFTER(A32,"CONTRATO ")," DE"),_xlpm.c,"CONTRATO "&amp;TEXT(_xlpm.n,"00")&amp;" DE 2026",_xlpm.h,'[1]SECOP II'!$A$1:$CQ$1,_xlpm.d,'[1]SECOP II'!$A$2:$CQ$94,_xlpm.r,INDEX(_xlpm.d,0,MATCH("Referencia del Contrato",_xlpm.h,0)),INDEX(_xlpm.d,MATCH(_xlpm.c,_xlpm.r,0),MATCH("Destino Gasto",_xlpm.h,0))),"")</f>
        <v>Inversión</v>
      </c>
      <c r="S32" s="21" t="str">
        <f>IFERROR(_xlfn.LET(_xlpm.n,--_xlfn.TEXTBEFORE(_xlfn.TEXTAFTER(A32,"CONTRATO ")," DE"),_xlpm.c,"CONTRATO "&amp;TEXT(_xlpm.n,"00")&amp;" DE 2026",_xlpm.h,'[1]SECOP II'!$A$1:$CQ$1,_xlpm.d,'[1]SECOP II'!$A$2:$CQ$94,_xlpm.r,INDEX(_xlpm.d,0,MATCH("Referencia del Contrato",_xlpm.h,0)),INDEX(_xlpm.d,MATCH(_xlpm.c,_xlpm.r,0),MATCH("URLProceso",_xlpm.h,0))),"")</f>
        <v>https://community.secop.gov.co/Public/Tendering/OpportunityDetail/Index?noticeUID=CO1.NTC.9553519&amp;isFromPublicArea=True&amp;isModal=true&amp;asPopupView=true</v>
      </c>
      <c r="T32" s="22" t="str">
        <f>IFERROR(_xlfn.LET(_xlpm.h,'[1]SECOP II'!$A$1:$CQ$1,_xlpm.d,'[1]SECOP II'!$A$2:$CQ$94,_xlpm.r,INDEX(_xlpm.d,0,MATCH("Referencia del Contrato",_xlpm.h,0)),INDEX(_xlpm.d,MATCH("CONTRATO 31 DE 2026",_xlpm.r,0),MATCH("Estado Contrato",_xlpm.h,0))),"")</f>
        <v>En ejecución</v>
      </c>
      <c r="U32" s="10" t="str">
        <f>[1]Contratos!C32</f>
        <v>PJ</v>
      </c>
      <c r="V32" s="10" t="str">
        <f>[1]Contratos!I32</f>
        <v>ANALÍTICA DE DATOS</v>
      </c>
      <c r="W32" s="23" t="str">
        <f>[1]Contratos!J32</f>
        <v>MIGUEL DURÁN</v>
      </c>
      <c r="X32" s="24" cm="1">
        <f t="array" ref="X32">IFERROR(VLOOKUP(W32,[1]COORD!$A$27:$B$67, 2, FALSE),[1]COORD!$B$27:$B$67)</f>
        <v>92541020</v>
      </c>
      <c r="Y32" s="25" t="s">
        <v>57</v>
      </c>
      <c r="Z32" s="35" t="s">
        <v>81</v>
      </c>
      <c r="AA32" s="27" t="str" cm="1">
        <f t="array" ref="AA32">IF(Y32&lt;&gt;"NIT","N/A",IF(OR(Z32="",Z32="N/A"),"N/A",IF(ISERROR(VALUE(IF(ISNUMBER(FIND("-",TEXT(Z32,"@"))),LEFT(TEXT(Z32,"@"),FIND("-",TEXT(Z32,"@"))-1),TEXT(Z32,"@")))),"N/A",IF(MOD(SUMPRODUCT(VALUE(MID(TEXT(VALUE(IF(ISNUMBER(FIND("-",TEXT(Z32,"@"))),LEFT(TEXT(Z32,"@"),FIND("-",TEXT(Z32,"@"))-1),TEXT(Z32,"@"))),"000000000000000"),{15,14,13,12,11,10,9,8,7,6,5,4,3,2,1},1)),{3,7,13,17,19,23,29,37,41,43,47,53,59,67,71}),11)=0,0,IF(MOD(SUMPRODUCT(VALUE(MID(TEXT(VALUE(IF(ISNUMBER(FIND("-",TEXT(Z32,"@"))),LEFT(TEXT(Z32,"@"),FIND("-",TEXT(Z32,"@"))-1),TEXT(Z32,"@"))),"000000000000000"),{15,14,13,12,11,10,9,8,7,6,5,4,3,2,1},1)),{3,7,13,17,19,23,29,37,41,43,47,53,59,67,71}),11)=1,1,11-MOD(SUMPRODUCT(VALUE(MID(TEXT(VALUE(IF(ISNUMBER(FIND("-",TEXT(Z32,"@"))),LEFT(TEXT(Z32,"@"),FIND("-",TEXT(Z32,"@"))-1),TEXT(Z32,"@"))),"000000000000000"),{15,14,13,12,11,10,9,8,7,6,5,4,3,2,1},1)),{3,7,13,17,19,23,29,37,41,43,47,53,59,67,71}),11))))))</f>
        <v>N/A</v>
      </c>
      <c r="AB32" s="27">
        <v>81112106</v>
      </c>
      <c r="AC32" s="29" t="str">
        <f>[1]Contratos!Z32</f>
        <v>N/A</v>
      </c>
      <c r="AD32" s="30">
        <f t="shared" si="3"/>
        <v>397</v>
      </c>
      <c r="AE32" s="31" t="s">
        <v>37</v>
      </c>
      <c r="AF32" s="31" t="str" cm="1">
        <f t="array" ref="AF32">IF(AG32="","",IFERROR(_xlfn.LET(_xlpm.x,INDEX([1]RP!$Z$2:$Z$706,MATCH(AG32&amp;"",[1]RP!$A$2:$A$706&amp;"",0)),IF(_xlpm.x="","",_xlpm.x)),""))</f>
        <v>4426</v>
      </c>
      <c r="AG32" s="31" cm="1">
        <f t="array" ref="AG32">IF(A32="","",IFERROR(_xlfn.LET(_xlpm.rp,[1]RP!$A$2:$A$706,_xlpm.dt,IFERROR(DATE(--LEFT([1]RP!$B$2:$B$706,4),--MID([1]RP!$B$2:$B$706,6,2),--MID([1]RP!$B$2:$B$706,9,2)),0),_xlpm.qid,UPPER(SUBSTITUTE(SUBSTITUTE(SUBSTITUTE(SUBSTITUTE([1]RP!$Q$2:$Q$706,".",""),"-","")," ",""),"O","0")),_xlpm.eid,UPPER(SUBSTITUTE(SUBSTITUTE(SUBSTITUTE(SUBSTITUTE(Z32,".",""),"-","")," ",""),"O","0")),_xlpm.qnm,UPPER(SUBSTITUTE(SUBSTITUTE(SUBSTITUTE(SUBSTITUTE(SUBSTITUTE([1]RP!$R$2:$R$706,".",""),"-","")," ",""),"Á","A"),"É","E")),_xlpm.enm,UPPER(SUBSTITUTE(SUBSTITUTE(SUBSTITUTE(SUBSTITUTE(SUBSTITUTE(B32,".",""),"-",""),"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32,"CONTRATO ")," DE")&amp;"/2026",_xlpm.dm,--ISNUMBER(SEARCH(_xlpm.num,_xlpm.sup)),_xlpm.dif,IF(_xlpm.ok,(1-_xlpm.dm)*1000000+IF(AND(ISNUMBER(M32),M32&gt;0),ABS(_xlpm.dt-M32),0),1E+99),_xlpm.md,MIN(_xlpm.dif),INDEX(_xlfn._xlws.FILTER(_xlpm.rp,(_xlpm.ok&gt;0)*(_xlpm.dif=_xlpm.md)),1)),""))</f>
        <v>7326</v>
      </c>
      <c r="AH32" s="32" cm="1">
        <f t="array" ref="AH32">IF(AF32="","",IFERROR(_xlfn.LET(_xlpm.x,INDEX([1]CDP!$B$2:$B$322,MATCH(AF32&amp;"",[1]CDP!$A$2:$A$322&amp;"",0)),IF(ISNUMBER(_xlpm.x),_xlpm.x,DATE(--LEFT(_xlpm.x,4),--MID(_xlpm.x,6,2),--MID(_xlpm.x,9,2)))),""))</f>
        <v>46030</v>
      </c>
    </row>
    <row r="33" spans="1:34" ht="61.5" customHeight="1" x14ac:dyDescent="0.35">
      <c r="A33" s="1" t="str">
        <f>[1]Contratos!A33</f>
        <v>CONTRATO 32 DE 2026</v>
      </c>
      <c r="B33" s="10" t="str">
        <f>[1]Contratos!B33</f>
        <v>LUIS CARLOS URRUITA</v>
      </c>
      <c r="C33" s="10" t="str">
        <f>[1]Contratos!E33</f>
        <v>Prestación de servicios profesionales o Apoyo a la gestión</v>
      </c>
      <c r="D33" s="10" t="s">
        <v>82</v>
      </c>
      <c r="E33" s="11" t="str">
        <f>[1]Contratos!F33</f>
        <v>Prestar servicios profesionales para brindar apoyo en el diseño, ejecución y evaluación de estrategias orientadas al fortalecimiento de entornos audiovisuales seguros, la generación y difusión de herramientas de alfabetización mediática e informacional, el trabajo y articulación con operadores del servicio de televisión y el pluralismo informativo, en el marco de los proyectos contemplados dentro de la Agenda Regulatoria y el Plan de Acción 2026.</v>
      </c>
      <c r="F33" s="12">
        <v>159999500</v>
      </c>
      <c r="G33" s="13">
        <f>[1]Contratos!G33</f>
        <v>159999500</v>
      </c>
      <c r="H33" s="14" t="str">
        <f>IFERROR(VLOOKUP(A33, [1]Otrosí!A:F, 6, FALSE), "0")</f>
        <v>0</v>
      </c>
      <c r="I33" s="13">
        <f t="shared" si="0"/>
        <v>159999500</v>
      </c>
      <c r="J33" s="15">
        <f>IFERROR(_xlfn.LET(_xlpm.x,_xlfn.LET(_xlpm.n,--_xlfn.TEXTBEFORE(_xlfn.TEXTAFTER(A33,"CONTRATO ")," DE"),_xlpm.c,"CONTRATO "&amp;TEXT(_xlpm.n,"00")&amp;" DE 2026",_xlpm.h,'[1]SECOP II'!$A$1:$CQ$1,_xlpm.d,'[1]SECOP II'!$A$2:$CQ$94,_xlpm.r,INDEX(_xlpm.d,0,MATCH("Referencia del Contrato",_xlpm.h,0)),INDEX(_xlpm.d,MATCH(_xlpm.c,_xlpm.r,0),MATCH("Valor Pagado",_xlpm.h,0))),_xlfn.NUMBERVALUE(SUBSTITUTE(_xlpm.x,"$",""),".",",")),"")</f>
        <v>118260500</v>
      </c>
      <c r="K33" s="16">
        <f t="shared" si="1"/>
        <v>41739000</v>
      </c>
      <c r="L33" s="17">
        <f t="shared" si="2"/>
        <v>0.73913043478260865</v>
      </c>
      <c r="M33" s="18">
        <f>[1]Contratos!O33</f>
        <v>46036</v>
      </c>
      <c r="N33" s="18">
        <f>[1]Contratos!P33</f>
        <v>46038</v>
      </c>
      <c r="O33" s="18">
        <f>[1]Contratos!Q33</f>
        <v>46387</v>
      </c>
      <c r="P33" s="18" t="str">
        <f>IFERROR(VLOOKUP(A33, [1]Otrosí!A:L, 7, FALSE), "N/A")</f>
        <v>N/A</v>
      </c>
      <c r="Q33" s="19" t="str">
        <f>IFERROR(_xlfn.LET(_xlpm.h,'[1]SECOP II'!$A$1:$CQ$1,_xlpm.d,'[1]SECOP II'!$A$2:$CQ$94,_xlpm.r,INDEX(_xlpm.d,0,MATCH("Referencia del Contrato",_xlpm.h,0)),INDEX(_xlpm.d,MATCH("CONTRATO 32 DE 2026",_xlpm.r,0),MATCH("Tipo de Contrato",_xlpm.h,0))),"")</f>
        <v>Prestación de servicios</v>
      </c>
      <c r="R33" s="20" t="str">
        <f>IFERROR(_xlfn.LET(_xlpm.n,--_xlfn.TEXTBEFORE(_xlfn.TEXTAFTER(A33,"CONTRATO ")," DE"),_xlpm.c,"CONTRATO "&amp;TEXT(_xlpm.n,"00")&amp;" DE 2026",_xlpm.h,'[1]SECOP II'!$A$1:$CQ$1,_xlpm.d,'[1]SECOP II'!$A$2:$CQ$94,_xlpm.r,INDEX(_xlpm.d,0,MATCH("Referencia del Contrato",_xlpm.h,0)),INDEX(_xlpm.d,MATCH(_xlpm.c,_xlpm.r,0),MATCH("Destino Gasto",_xlpm.h,0))),"")</f>
        <v>Inversión</v>
      </c>
      <c r="S33" s="21" t="str">
        <f>IFERROR(_xlfn.LET(_xlpm.n,--_xlfn.TEXTBEFORE(_xlfn.TEXTAFTER(A33,"CONTRATO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https://community.secop.gov.co/Public/Tendering/OpportunityDetail/Index?noticeUID=CO1.NTC.9487655&amp;isFromPublicArea=True&amp;isModal=true&amp;asPopupView=true</v>
      </c>
      <c r="T33" s="22" t="str">
        <f>IFERROR(_xlfn.LET(_xlpm.h,'[1]SECOP II'!$A$1:$CQ$1,_xlpm.d,'[1]SECOP II'!$A$2:$CQ$94,_xlpm.r,INDEX(_xlpm.d,0,MATCH("Referencia del Contrato",_xlpm.h,0)),INDEX(_xlpm.d,MATCH("CONTRATO 32 DE 2026",_xlpm.r,0),MATCH("Estado Contrato",_xlpm.h,0))),"")</f>
        <v>En ejecución</v>
      </c>
      <c r="U33" s="10" t="str">
        <f>[1]Contratos!C33</f>
        <v>PN</v>
      </c>
      <c r="V33" s="10" t="str">
        <f>[1]Contratos!I33</f>
        <v>PEDAGOGÍA REGULATORIA</v>
      </c>
      <c r="W33" s="23" t="str">
        <f>[1]Contratos!J33</f>
        <v>RICARDO RAMÍREZ</v>
      </c>
      <c r="X33" s="24" cm="1">
        <f t="array" ref="X33">IFERROR(VLOOKUP(W33,[1]COORD!$A$27:$B$67, 2, FALSE),[1]COORD!$B$27:$B$67)</f>
        <v>79444533</v>
      </c>
      <c r="Y33" s="25" t="s">
        <v>35</v>
      </c>
      <c r="Z33" s="26">
        <v>79555310</v>
      </c>
      <c r="AA33" s="27" t="str" cm="1">
        <f t="array" ref="AA33">IF(Y33&lt;&gt;"NIT","N/A",IF(OR(Z33="",Z33="N/A"),"N/A",IF(ISERROR(VALUE(IF(ISNUMBER(FIND("-",TEXT(Z33,"@"))),LEFT(TEXT(Z33,"@"),FIND("-",TEXT(Z33,"@"))-1),TEXT(Z33,"@")))),"N/A",IF(MOD(SUMPRODUCT(VALUE(MID(TEXT(VALUE(IF(ISNUMBER(FIND("-",TEXT(Z33,"@"))),LEFT(TEXT(Z33,"@"),FIND("-",TEXT(Z33,"@"))-1),TEXT(Z33,"@"))),"000000000000000"),{15,14,13,12,11,10,9,8,7,6,5,4,3,2,1},1)),{3,7,13,17,19,23,29,37,41,43,47,53,59,67,71}),11)=0,0,IF(MOD(SUMPRODUCT(VALUE(MID(TEXT(VALUE(IF(ISNUMBER(FIND("-",TEXT(Z33,"@"))),LEFT(TEXT(Z33,"@"),FIND("-",TEXT(Z33,"@"))-1),TEXT(Z33,"@"))),"000000000000000"),{15,14,13,12,11,10,9,8,7,6,5,4,3,2,1},1)),{3,7,13,17,19,23,29,37,41,43,47,53,59,67,71}),11)=1,1,11-MOD(SUMPRODUCT(VALUE(MID(TEXT(VALUE(IF(ISNUMBER(FIND("-",TEXT(Z33,"@"))),LEFT(TEXT(Z33,"@"),FIND("-",TEXT(Z33,"@"))-1),TEXT(Z33,"@"))),"000000000000000"),{15,14,13,12,11,10,9,8,7,6,5,4,3,2,1},1)),{3,7,13,17,19,23,29,37,41,43,47,53,59,67,71}),11))))))</f>
        <v>N/A</v>
      </c>
      <c r="AB33" s="27">
        <v>86101701</v>
      </c>
      <c r="AC33" s="29" t="str">
        <f>[1]Contratos!Z33</f>
        <v>NO</v>
      </c>
      <c r="AD33" s="30">
        <f t="shared" si="3"/>
        <v>351</v>
      </c>
      <c r="AE33" s="31" t="s">
        <v>37</v>
      </c>
      <c r="AF33" s="31" t="str" cm="1">
        <f t="array" ref="AF33">IF(AG33="","",IFERROR(_xlfn.LET(_xlpm.x,INDEX([1]RP!$Z$2:$Z$706,MATCH(AG33&amp;"",[1]RP!$A$2:$A$706&amp;"",0)),IF(_xlpm.x="","",_xlpm.x)),""))</f>
        <v>4626</v>
      </c>
      <c r="AG33" s="31" cm="1">
        <f t="array" ref="AG33">IF(A33="","",IFERROR(_xlfn.LET(_xlpm.rp,[1]RP!$A$2:$A$706,_xlpm.dt,IFERROR(DATE(--LEFT([1]RP!$B$2:$B$706,4),--MID([1]RP!$B$2:$B$706,6,2),--MID([1]RP!$B$2:$B$706,9,2)),0),_xlpm.qid,UPPER(SUBSTITUTE(SUBSTITUTE(SUBSTITUTE(SUBSTITUTE([1]RP!$Q$2:$Q$706,".",""),"-","")," ",""),"O","0")),_xlpm.eid,UPPER(SUBSTITUTE(SUBSTITUTE(SUBSTITUTE(SUBSTITUTE(Z33,".",""),"-","")," ",""),"O","0")),_xlpm.qnm,UPPER(SUBSTITUTE(SUBSTITUTE(SUBSTITUTE(SUBSTITUTE(SUBSTITUTE([1]RP!$R$2:$R$706,".",""),"-","")," ",""),"Á","A"),"É","E")),_xlpm.enm,UPPER(SUBSTITUTE(SUBSTITUTE(SUBSTITUTE(SUBSTITUTE(SUBSTITUTE(B33,".",""),"-",""),"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33,"CONTRATO ")," DE")&amp;"/2026",_xlpm.dm,--ISNUMBER(SEARCH(_xlpm.num,_xlpm.sup)),_xlpm.dif,IF(_xlpm.ok,(1-_xlpm.dm)*1000000+IF(AND(ISNUMBER(M33),M33&gt;0),ABS(_xlpm.dt-M33),0),1E+99),_xlpm.md,MIN(_xlpm.dif),INDEX(_xlfn._xlws.FILTER(_xlpm.rp,(_xlpm.ok&gt;0)*(_xlpm.dif=_xlpm.md)),1)),""))</f>
        <v>3726</v>
      </c>
      <c r="AH33" s="32" cm="1">
        <f t="array" ref="AH33">IF(AF33="","",IFERROR(_xlfn.LET(_xlpm.x,INDEX([1]CDP!$B$2:$B$322,MATCH(AF33&amp;"",[1]CDP!$A$2:$A$322&amp;"",0)),IF(ISNUMBER(_xlpm.x),_xlpm.x,DATE(--LEFT(_xlpm.x,4),--MID(_xlpm.x,6,2),--MID(_xlpm.x,9,2)))),""))</f>
        <v>46030</v>
      </c>
    </row>
    <row r="34" spans="1:34" ht="61.5" customHeight="1" x14ac:dyDescent="0.35">
      <c r="A34" s="1" t="str">
        <f>[1]Contratos!A34</f>
        <v>CONTRATO 33 DE 2026</v>
      </c>
      <c r="B34" s="10" t="str">
        <f>[1]Contratos!B34</f>
        <v>ROBERTO BALTRA CONSULTORÍAS E.I.R.L.</v>
      </c>
      <c r="C34" s="10" t="str">
        <f>[1]Contratos!E34</f>
        <v>Prestación de servicios profesionales o Apoyo a la gestión</v>
      </c>
      <c r="D34" s="10" t="s">
        <v>83</v>
      </c>
      <c r="E34" s="11" t="str">
        <f>[1]Contratos!F34</f>
        <v>Prestación de servicios profesionales altamente especializados en materia de economía y regulación de mercados de telecomunicaciones para apoyar y acompañar a la CRC en el desarrollo de actividades técnicas, económicas y regulatorias relacionadas con la construcción y análisis de modelos de costos convergentes para redes fijas y móviles; la elaboración de estudios y ejercicios de costeo requeridos en el proyecto «Regulación para el aprovechamiento y compartición de infraestructura de otros sectores para el despliegue de redes de comunicaciones»; el análisis económico y de costos asociado a iniciativas de conectividad mayorista local, incluyendo redes municipales neutrales de fibra óptica; y el acompañamiento técnico especializado en la discusión sectorial de los proyectos «Esquemas de remuneración móvil» y «Evaluación de costos para la reconexión de servicios de telecomunicaciones», previsto en la Agenda Regulatoria 2026–2027, garantizando continuidad metodológica con el modelo de empresa eficiente móvil desarrollado en la vigencia 2025, así como la generación de insumos económicos y regulatorios que permitan sustentar las decisiones de la Comisión.</v>
      </c>
      <c r="F34" s="12">
        <v>410000000</v>
      </c>
      <c r="G34" s="13">
        <f>[1]Contratos!G34</f>
        <v>410000000</v>
      </c>
      <c r="H34" s="14" t="str">
        <f>IFERROR(VLOOKUP(A34, [1]Otrosí!A:F, 6, FALSE), "0")</f>
        <v>0</v>
      </c>
      <c r="I34" s="13">
        <f t="shared" si="0"/>
        <v>410000000</v>
      </c>
      <c r="J34" s="15">
        <f>IFERROR(_xlfn.LET(_xlpm.x,_xlfn.LET(_xlpm.n,--_xlfn.TEXTBEFORE(_xlfn.TEXTAFTER(A34,"CONTRATO ")," DE"),_xlpm.c,"CONTRATO "&amp;TEXT(_xlpm.n,"00")&amp;" DE 2026",_xlpm.h,'[1]SECOP II'!$A$1:$CQ$1,_xlpm.d,'[1]SECOP II'!$A$2:$CQ$94,_xlpm.r,INDEX(_xlpm.d,0,MATCH("Referencia del Contrato",_xlpm.h,0)),INDEX(_xlpm.d,MATCH(_xlpm.c,_xlpm.r,0),MATCH("Valor Pagado",_xlpm.h,0))),_xlfn.NUMBERVALUE(SUBSTITUTE(_xlpm.x,"$",""),".",",")),"")</f>
        <v>102500000</v>
      </c>
      <c r="K34" s="16">
        <f t="shared" si="1"/>
        <v>307500000</v>
      </c>
      <c r="L34" s="17">
        <f t="shared" si="2"/>
        <v>0.25</v>
      </c>
      <c r="M34" s="18">
        <f>[1]Contratos!O34</f>
        <v>46036</v>
      </c>
      <c r="N34" s="18">
        <f>[1]Contratos!P34</f>
        <v>46037</v>
      </c>
      <c r="O34" s="18">
        <f>[1]Contratos!Q34</f>
        <v>46387</v>
      </c>
      <c r="P34" s="18" t="str">
        <f>IFERROR(VLOOKUP(A34, [1]Otrosí!A:L, 7, FALSE), "N/A")</f>
        <v>N/A</v>
      </c>
      <c r="Q34" s="19" t="str">
        <f>IFERROR(_xlfn.LET(_xlpm.h,'[1]SECOP II'!$A$1:$CQ$1,_xlpm.d,'[1]SECOP II'!$A$2:$CQ$94,_xlpm.r,INDEX(_xlpm.d,0,MATCH("Referencia del Contrato",_xlpm.h,0)),INDEX(_xlpm.d,MATCH("CONTRATO 33 DE 2026",_xlpm.r,0),MATCH("Tipo de Contrato",_xlpm.h,0))),"")</f>
        <v>Prestación de servicios</v>
      </c>
      <c r="R34" s="20" t="str">
        <f>IFERROR(_xlfn.LET(_xlpm.n,--_xlfn.TEXTBEFORE(_xlfn.TEXTAFTER(A34,"CONTRATO ")," DE"),_xlpm.c,"CONTRATO "&amp;TEXT(_xlpm.n,"00")&amp;" DE 2026",_xlpm.h,'[1]SECOP II'!$A$1:$CQ$1,_xlpm.d,'[1]SECOP II'!$A$2:$CQ$94,_xlpm.r,INDEX(_xlpm.d,0,MATCH("Referencia del Contrato",_xlpm.h,0)),INDEX(_xlpm.d,MATCH(_xlpm.c,_xlpm.r,0),MATCH("Destino Gasto",_xlpm.h,0))),"")</f>
        <v>Inversión</v>
      </c>
      <c r="S34" s="21" t="str">
        <f>IFERROR(_xlfn.LET(_xlpm.n,--_xlfn.TEXTBEFORE(_xlfn.TEXTAFTER(A34,"CONTRATO ")," DE"),_xlpm.c,"CONTRATO "&amp;TEXT(_xlpm.n,"00")&amp;" DE 2026",_xlpm.h,'[1]SECOP II'!$A$1:$CQ$1,_xlpm.d,'[1]SECOP II'!$A$2:$CQ$94,_xlpm.r,INDEX(_xlpm.d,0,MATCH("Referencia del Contrato",_xlpm.h,0)),INDEX(_xlpm.d,MATCH(_xlpm.c,_xlpm.r,0),MATCH("URLProceso",_xlpm.h,0))),"")</f>
        <v>https://community.secop.gov.co/Public/Tendering/OpportunityDetail/Index?noticeUID=CO1.NTC.9491852&amp;isFromPublicArea=True&amp;isModal=true&amp;asPopupView=true</v>
      </c>
      <c r="T34" s="22" t="str">
        <f>IFERROR(_xlfn.LET(_xlpm.h,'[1]SECOP II'!$A$1:$CQ$1,_xlpm.d,'[1]SECOP II'!$A$2:$CQ$94,_xlpm.r,INDEX(_xlpm.d,0,MATCH("Referencia del Contrato",_xlpm.h,0)),INDEX(_xlpm.d,MATCH("CONTRATO 33 DE 2026",_xlpm.r,0),MATCH("Estado Contrato",_xlpm.h,0))),"")</f>
        <v>En ejecución</v>
      </c>
      <c r="U34" s="10" t="str">
        <f>[1]Contratos!C34</f>
        <v>PJ</v>
      </c>
      <c r="V34" s="10" t="str">
        <f>[1]Contratos!I34</f>
        <v>DISEÑO REGULATORIO</v>
      </c>
      <c r="W34" s="23" t="str">
        <f>[1]Contratos!J34</f>
        <v>ALEJANDRA ARENAS</v>
      </c>
      <c r="X34" s="24" cm="1">
        <f t="array" ref="X34">IFERROR(VLOOKUP(W34,[1]COORD!$A$27:$B$67, 2, FALSE),[1]COORD!$B$27:$B$67)</f>
        <v>1020749984</v>
      </c>
      <c r="Y34" s="25" t="s">
        <v>57</v>
      </c>
      <c r="Z34" s="36" t="s">
        <v>84</v>
      </c>
      <c r="AA34" s="27" t="str" cm="1">
        <f t="array" ref="AA34">IF(Y34&lt;&gt;"NIT","N/A",IF(OR(Z34="",Z34="N/A"),"N/A",IF(ISERROR(VALUE(IF(ISNUMBER(FIND("-",TEXT(Z34,"@"))),LEFT(TEXT(Z34,"@"),FIND("-",TEXT(Z34,"@"))-1),TEXT(Z34,"@")))),"N/A",IF(MOD(SUMPRODUCT(VALUE(MID(TEXT(VALUE(IF(ISNUMBER(FIND("-",TEXT(Z34,"@"))),LEFT(TEXT(Z34,"@"),FIND("-",TEXT(Z34,"@"))-1),TEXT(Z34,"@"))),"000000000000000"),{15,14,13,12,11,10,9,8,7,6,5,4,3,2,1},1)),{3,7,13,17,19,23,29,37,41,43,47,53,59,67,71}),11)=0,0,IF(MOD(SUMPRODUCT(VALUE(MID(TEXT(VALUE(IF(ISNUMBER(FIND("-",TEXT(Z34,"@"))),LEFT(TEXT(Z34,"@"),FIND("-",TEXT(Z34,"@"))-1),TEXT(Z34,"@"))),"000000000000000"),{15,14,13,12,11,10,9,8,7,6,5,4,3,2,1},1)),{3,7,13,17,19,23,29,37,41,43,47,53,59,67,71}),11)=1,1,11-MOD(SUMPRODUCT(VALUE(MID(TEXT(VALUE(IF(ISNUMBER(FIND("-",TEXT(Z34,"@"))),LEFT(TEXT(Z34,"@"),FIND("-",TEXT(Z34,"@"))-1),TEXT(Z34,"@"))),"000000000000000"),{15,14,13,12,11,10,9,8,7,6,5,4,3,2,1},1)),{3,7,13,17,19,23,29,37,41,43,47,53,59,67,71}),11))))))</f>
        <v>N/A</v>
      </c>
      <c r="AB34" s="27">
        <v>81121502</v>
      </c>
      <c r="AC34" s="29" t="str">
        <f>[1]Contratos!Z34</f>
        <v>N/A</v>
      </c>
      <c r="AD34" s="30">
        <f t="shared" si="3"/>
        <v>351</v>
      </c>
      <c r="AE34" s="31" t="s">
        <v>37</v>
      </c>
      <c r="AF34" s="31" t="str" cm="1">
        <f t="array" ref="AF34">IF(AG34="","",IFERROR(_xlfn.LET(_xlpm.x,INDEX([1]RP!$Z$2:$Z$706,MATCH(AG34&amp;"",[1]RP!$A$2:$A$706&amp;"",0)),IF(_xlpm.x="","",_xlpm.x)),""))</f>
        <v>4826</v>
      </c>
      <c r="AG34" s="31" cm="1">
        <f t="array" ref="AG34">IF(A34="","",IFERROR(_xlfn.LET(_xlpm.rp,[1]RP!$A$2:$A$706,_xlpm.dt,IFERROR(DATE(--LEFT([1]RP!$B$2:$B$706,4),--MID([1]RP!$B$2:$B$706,6,2),--MID([1]RP!$B$2:$B$706,9,2)),0),_xlpm.qid,UPPER(SUBSTITUTE(SUBSTITUTE(SUBSTITUTE(SUBSTITUTE([1]RP!$Q$2:$Q$706,".",""),"-","")," ",""),"O","0")),_xlpm.eid,UPPER(SUBSTITUTE(SUBSTITUTE(SUBSTITUTE(SUBSTITUTE(Z34,".",""),"-","")," ",""),"O","0")),_xlpm.qnm,UPPER(SUBSTITUTE(SUBSTITUTE(SUBSTITUTE(SUBSTITUTE(SUBSTITUTE([1]RP!$R$2:$R$706,".",""),"-","")," ",""),"Á","A"),"É","E")),_xlpm.enm,UPPER(SUBSTITUTE(SUBSTITUTE(SUBSTITUTE(SUBSTITUTE(SUBSTITUTE(B34,".",""),"-",""),"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34,"CONTRATO ")," DE")&amp;"/2026",_xlpm.dm,--ISNUMBER(SEARCH(_xlpm.num,_xlpm.sup)),_xlpm.dif,IF(_xlpm.ok,(1-_xlpm.dm)*1000000+IF(AND(ISNUMBER(M34),M34&gt;0),ABS(_xlpm.dt-M34),0),1E+99),_xlpm.md,MIN(_xlpm.dif),INDEX(_xlfn._xlws.FILTER(_xlpm.rp,(_xlpm.ok&gt;0)*(_xlpm.dif=_xlpm.md)),1)),""))</f>
        <v>3026</v>
      </c>
      <c r="AH34" s="32" cm="1">
        <f t="array" ref="AH34">IF(AF34="","",IFERROR(_xlfn.LET(_xlpm.x,INDEX([1]CDP!$B$2:$B$322,MATCH(AF34&amp;"",[1]CDP!$A$2:$A$322&amp;"",0)),IF(ISNUMBER(_xlpm.x),_xlpm.x,DATE(--LEFT(_xlpm.x,4),--MID(_xlpm.x,6,2),--MID(_xlpm.x,9,2)))),""))</f>
        <v>46030</v>
      </c>
    </row>
    <row r="35" spans="1:34" ht="61.5" customHeight="1" x14ac:dyDescent="0.35">
      <c r="A35" s="1" t="str">
        <f>[1]Contratos!A35</f>
        <v>CONTRATO 34 DE 2026</v>
      </c>
      <c r="B35" s="10" t="str">
        <f>[1]Contratos!B35</f>
        <v>AVANCE JURIDICO CASA EDITORIAL</v>
      </c>
      <c r="C35" s="10" t="str">
        <f>[1]Contratos!E35</f>
        <v>Contratación directa</v>
      </c>
      <c r="D35" s="10" t="s">
        <v>85</v>
      </c>
      <c r="E35" s="11" t="str">
        <f>[1]Contratos!F35</f>
        <v>Actualización permanente de la Resolución CRC 5050 de 2016 en relación con los conceptos, línea decisional, doctrina concordante, circulares y notas de vigencia, así como la compilación y actualización de las normas complementarias que son transversales a todas las entidades públicas, integrado en el Normograma de la CRC.</v>
      </c>
      <c r="F35" s="12">
        <v>157206840</v>
      </c>
      <c r="G35" s="13">
        <f>[1]Contratos!G35</f>
        <v>157206840</v>
      </c>
      <c r="H35" s="14" t="str">
        <f>IFERROR(VLOOKUP(A35, [1]Otrosí!A:F, 6, FALSE), "0")</f>
        <v>0</v>
      </c>
      <c r="I35" s="13">
        <f t="shared" si="0"/>
        <v>157206840</v>
      </c>
      <c r="J35" s="15">
        <f>IFERROR(_xlfn.LET(_xlpm.x,_xlfn.LET(_xlpm.n,--_xlfn.TEXTBEFORE(_xlfn.TEXTAFTER(A35,"CONTRATO ")," DE"),_xlpm.c,"CONTRATO "&amp;TEXT(_xlpm.n,"00")&amp;" DE 2026",_xlpm.h,'[1]SECOP II'!$A$1:$CQ$1,_xlpm.d,'[1]SECOP II'!$A$2:$CQ$94,_xlpm.r,INDEX(_xlpm.d,0,MATCH("Referencia del Contrato",_xlpm.h,0)),INDEX(_xlpm.d,MATCH(_xlpm.c,_xlpm.r,0),MATCH("Valor Pagado",_xlpm.h,0))),_xlfn.NUMBERVALUE(SUBSTITUTE(_xlpm.x,"$",""),".",",")),"")</f>
        <v>102526200</v>
      </c>
      <c r="K35" s="16">
        <f t="shared" si="1"/>
        <v>54680640</v>
      </c>
      <c r="L35" s="17">
        <f t="shared" si="2"/>
        <v>0.65217391304347827</v>
      </c>
      <c r="M35" s="18">
        <f>[1]Contratos!O35</f>
        <v>46037</v>
      </c>
      <c r="N35" s="18">
        <f>[1]Contratos!P35</f>
        <v>46038</v>
      </c>
      <c r="O35" s="18">
        <f>[1]Contratos!Q35</f>
        <v>46387</v>
      </c>
      <c r="P35" s="18" t="str">
        <f>IFERROR(VLOOKUP(A35, [1]Otrosí!A:L, 7, FALSE), "N/A")</f>
        <v>N/A</v>
      </c>
      <c r="Q35" s="19" t="str">
        <f>IFERROR(_xlfn.LET(_xlpm.h,'[1]SECOP II'!$A$1:$CQ$1,_xlpm.d,'[1]SECOP II'!$A$2:$CQ$94,_xlpm.r,INDEX(_xlpm.d,0,MATCH("Referencia del Contrato",_xlpm.h,0)),INDEX(_xlpm.d,MATCH("CONTRATO 34 DE 2026",_xlpm.r,0),MATCH("Tipo de Contrato",_xlpm.h,0))),"")</f>
        <v>Prestación de servicios</v>
      </c>
      <c r="R35" s="20" t="str">
        <f>IFERROR(_xlfn.LET(_xlpm.n,--_xlfn.TEXTBEFORE(_xlfn.TEXTAFTER(A35,"CONTRATO ")," DE"),_xlpm.c,"CONTRATO "&amp;TEXT(_xlpm.n,"00")&amp;" DE 2026",_xlpm.h,'[1]SECOP II'!$A$1:$CQ$1,_xlpm.d,'[1]SECOP II'!$A$2:$CQ$94,_xlpm.r,INDEX(_xlpm.d,0,MATCH("Referencia del Contrato",_xlpm.h,0)),INDEX(_xlpm.d,MATCH(_xlpm.c,_xlpm.r,0),MATCH("Destino Gasto",_xlpm.h,0))),"")</f>
        <v>Inversión</v>
      </c>
      <c r="S35" s="21" t="str">
        <f>IFERROR(_xlfn.LET(_xlpm.n,--_xlfn.TEXTBEFORE(_xlfn.TEXTAFTER(A35,"CONTRATO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https://community.secop.gov.co/Public/Tendering/OpportunityDetail/Index?noticeUID=CO1.NTC.9486150&amp;isFromPublicArea=True&amp;isModal=true&amp;asPopupView=true</v>
      </c>
      <c r="T35" s="22" t="str">
        <f>IFERROR(_xlfn.LET(_xlpm.h,'[1]SECOP II'!$A$1:$CQ$1,_xlpm.d,'[1]SECOP II'!$A$2:$CQ$94,_xlpm.r,INDEX(_xlpm.d,0,MATCH("Referencia del Contrato",_xlpm.h,0)),INDEX(_xlpm.d,MATCH("CONTRATO 34 DE 2026",_xlpm.r,0),MATCH("Estado Contrato",_xlpm.h,0))),"")</f>
        <v>En ejecución</v>
      </c>
      <c r="U35" s="10" t="str">
        <f>[1]Contratos!C35</f>
        <v>PJ</v>
      </c>
      <c r="V35" s="10" t="str">
        <f>[1]Contratos!I35</f>
        <v>COORDINACIÓN EJECUTIVA</v>
      </c>
      <c r="W35" s="23" t="str">
        <f>[1]Contratos!J35</f>
        <v>LUZ MIREYA GARZÓN</v>
      </c>
      <c r="X35" s="24" cm="1">
        <f t="array" ref="X35">IFERROR(VLOOKUP(W35,[1]COORD!$A$27:$B$67, 2, FALSE),[1]COORD!$B$27:$B$67)</f>
        <v>52328311</v>
      </c>
      <c r="Y35" s="25" t="s">
        <v>57</v>
      </c>
      <c r="Z35" s="37">
        <v>830041326</v>
      </c>
      <c r="AA35" s="27" cm="1">
        <f t="array" ref="AA35">IF(Y35&lt;&gt;"NIT","N/A",IF(OR(Z35="",Z35="N/A"),"N/A",IF(ISERROR(VALUE(IF(ISNUMBER(FIND("-",TEXT(Z35,"@"))),LEFT(TEXT(Z35,"@"),FIND("-",TEXT(Z35,"@"))-1),TEXT(Z35,"@")))),"N/A",IF(MOD(SUMPRODUCT(VALUE(MID(TEXT(VALUE(IF(ISNUMBER(FIND("-",TEXT(Z35,"@"))),LEFT(TEXT(Z35,"@"),FIND("-",TEXT(Z35,"@"))-1),TEXT(Z35,"@"))),"000000000000000"),{15,14,13,12,11,10,9,8,7,6,5,4,3,2,1},1)),{3,7,13,17,19,23,29,37,41,43,47,53,59,67,71}),11)=0,0,IF(MOD(SUMPRODUCT(VALUE(MID(TEXT(VALUE(IF(ISNUMBER(FIND("-",TEXT(Z35,"@"))),LEFT(TEXT(Z35,"@"),FIND("-",TEXT(Z35,"@"))-1),TEXT(Z35,"@"))),"000000000000000"),{15,14,13,12,11,10,9,8,7,6,5,4,3,2,1},1)),{3,7,13,17,19,23,29,37,41,43,47,53,59,67,71}),11)=1,1,11-MOD(SUMPRODUCT(VALUE(MID(TEXT(VALUE(IF(ISNUMBER(FIND("-",TEXT(Z35,"@"))),LEFT(TEXT(Z35,"@"),FIND("-",TEXT(Z35,"@"))-1),TEXT(Z35,"@"))),"000000000000000"),{15,14,13,12,11,10,9,8,7,6,5,4,3,2,1},1)),{3,7,13,17,19,23,29,37,41,43,47,53,59,67,71}),11))))))</f>
        <v>2</v>
      </c>
      <c r="AB35" s="27">
        <v>80161500</v>
      </c>
      <c r="AC35" s="29" t="str">
        <f>[1]Contratos!Z35</f>
        <v>N/A</v>
      </c>
      <c r="AD35" s="30">
        <f t="shared" si="3"/>
        <v>350</v>
      </c>
      <c r="AE35" s="31" t="s">
        <v>37</v>
      </c>
      <c r="AF35" s="31" t="str" cm="1">
        <f t="array" ref="AF35">IF(AG35="","",IFERROR(_xlfn.LET(_xlpm.x,INDEX([1]RP!$Z$2:$Z$706,MATCH(AG35&amp;"",[1]RP!$A$2:$A$706&amp;"",0)),IF(_xlpm.x="","",_xlpm.x)),""))</f>
        <v>3726</v>
      </c>
      <c r="AG35" s="31" cm="1">
        <f t="array" ref="AG35">IF(A35="","",IFERROR(_xlfn.LET(_xlpm.rp,[1]RP!$A$2:$A$706,_xlpm.dt,IFERROR(DATE(--LEFT([1]RP!$B$2:$B$706,4),--MID([1]RP!$B$2:$B$706,6,2),--MID([1]RP!$B$2:$B$706,9,2)),0),_xlpm.qid,UPPER(SUBSTITUTE(SUBSTITUTE(SUBSTITUTE(SUBSTITUTE([1]RP!$Q$2:$Q$706,".",""),"-","")," ",""),"O","0")),_xlpm.eid,UPPER(SUBSTITUTE(SUBSTITUTE(SUBSTITUTE(SUBSTITUTE(Z35,".",""),"-","")," ",""),"O","0")),_xlpm.qnm,UPPER(SUBSTITUTE(SUBSTITUTE(SUBSTITUTE(SUBSTITUTE(SUBSTITUTE([1]RP!$R$2:$R$706,".",""),"-","")," ",""),"Á","A"),"É","E")),_xlpm.enm,UPPER(SUBSTITUTE(SUBSTITUTE(SUBSTITUTE(SUBSTITUTE(SUBSTITUTE(B35,".",""),"-",""),"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35,"CONTRATO ")," DE")&amp;"/2026",_xlpm.dm,--ISNUMBER(SEARCH(_xlpm.num,_xlpm.sup)),_xlpm.dif,IF(_xlpm.ok,(1-_xlpm.dm)*1000000+IF(AND(ISNUMBER(M35),M35&gt;0),ABS(_xlpm.dt-M35),0),1E+99),_xlpm.md,MIN(_xlpm.dif),INDEX(_xlfn._xlws.FILTER(_xlpm.rp,(_xlpm.ok&gt;0)*(_xlpm.dif=_xlpm.md)),1)),""))</f>
        <v>5426</v>
      </c>
      <c r="AH35" s="32" cm="1">
        <f t="array" ref="AH35">IF(AF35="","",IFERROR(_xlfn.LET(_xlpm.x,INDEX([1]CDP!$B$2:$B$322,MATCH(AF35&amp;"",[1]CDP!$A$2:$A$322&amp;"",0)),IF(ISNUMBER(_xlpm.x),_xlpm.x,DATE(--LEFT(_xlpm.x,4),--MID(_xlpm.x,6,2),--MID(_xlpm.x,9,2)))),""))</f>
        <v>46030</v>
      </c>
    </row>
    <row r="36" spans="1:34" ht="61.5" customHeight="1" x14ac:dyDescent="0.35">
      <c r="A36" s="1" t="str">
        <f>[1]Contratos!A36</f>
        <v>CONTRATO 35 DE 2026</v>
      </c>
      <c r="B36" s="10" t="s">
        <v>86</v>
      </c>
      <c r="C36" s="10" t="str">
        <f>[1]Contratos!E36</f>
        <v>Prestación de servicios profesionales o Apoyo a la gestión</v>
      </c>
      <c r="D36" s="10" t="s">
        <v>87</v>
      </c>
      <c r="E36" s="11" t="str">
        <f>[1]Contratos!F36</f>
        <v>Prestación de servicios profesionales altamente especializados en materia de economía y análisis cuantitativo, orientados a brindar soporte especializado en la formulación y ejecución de proyectos regulatorios, así como en otras actividades desarrolladas por la Comisión de Regulación de Comunicaciones (CRC) en el marco de su Plan de Acción para 2026 y la Agenda Regulatoria 2026-2027</v>
      </c>
      <c r="F36" s="12">
        <v>243362400</v>
      </c>
      <c r="G36" s="13">
        <f>[1]Contratos!G36</f>
        <v>243362400</v>
      </c>
      <c r="H36" s="14" t="str">
        <f>IFERROR(VLOOKUP(A36, [1]Otrosí!A:F, 6, FALSE), "0")</f>
        <v>0</v>
      </c>
      <c r="I36" s="13">
        <f t="shared" si="0"/>
        <v>243362400</v>
      </c>
      <c r="J36" s="15">
        <f>IFERROR(_xlfn.LET(_xlpm.x,_xlfn.LET(_xlpm.n,--_xlfn.TEXTBEFORE(_xlfn.TEXTAFTER(A36,"CONTRATO ")," DE"),_xlpm.c,"CONTRATO "&amp;TEXT(_xlpm.n,"00")&amp;" DE 2026",_xlpm.h,'[1]SECOP II'!$A$1:$CQ$1,_xlpm.d,'[1]SECOP II'!$A$2:$CQ$94,_xlpm.r,INDEX(_xlpm.d,0,MATCH("Referencia del Contrato",_xlpm.h,0)),INDEX(_xlpm.d,MATCH(_xlpm.c,_xlpm.r,0),MATCH("Valor Pagado",_xlpm.h,0))),_xlfn.NUMBERVALUE(SUBSTITUTE(_xlpm.x,"$",""),".",",")),"")</f>
        <v>193067504</v>
      </c>
      <c r="K36" s="16">
        <f t="shared" si="1"/>
        <v>50294896</v>
      </c>
      <c r="L36" s="17">
        <f t="shared" si="2"/>
        <v>0.79333333333333333</v>
      </c>
      <c r="M36" s="18">
        <f>[1]Contratos!O36</f>
        <v>46042</v>
      </c>
      <c r="N36" s="18">
        <f>[1]Contratos!P36</f>
        <v>46044</v>
      </c>
      <c r="O36" s="18">
        <f>[1]Contratos!Q36</f>
        <v>46387</v>
      </c>
      <c r="P36" s="18" t="str">
        <f>IFERROR(VLOOKUP(A36, [1]Otrosí!A:L, 7, FALSE), "N/A")</f>
        <v>N/A</v>
      </c>
      <c r="Q36" s="19" t="str">
        <f>IFERROR(_xlfn.LET(_xlpm.h,'[1]SECOP II'!$A$1:$CQ$1,_xlpm.d,'[1]SECOP II'!$A$2:$CQ$94,_xlpm.r,INDEX(_xlpm.d,0,MATCH("Referencia del Contrato",_xlpm.h,0)),INDEX(_xlpm.d,MATCH("CONTRATO 35 DE 2026",_xlpm.r,0),MATCH("Tipo de Contrato",_xlpm.h,0))),"")</f>
        <v>Prestación de servicios</v>
      </c>
      <c r="R36" s="20" t="str">
        <f>IFERROR(_xlfn.LET(_xlpm.n,--_xlfn.TEXTBEFORE(_xlfn.TEXTAFTER(A36,"CONTRATO ")," DE"),_xlpm.c,"CONTRATO "&amp;TEXT(_xlpm.n,"00")&amp;" DE 2026",_xlpm.h,'[1]SECOP II'!$A$1:$CQ$1,_xlpm.d,'[1]SECOP II'!$A$2:$CQ$94,_xlpm.r,INDEX(_xlpm.d,0,MATCH("Referencia del Contrato",_xlpm.h,0)),INDEX(_xlpm.d,MATCH(_xlpm.c,_xlpm.r,0),MATCH("Destino Gasto",_xlpm.h,0))),"")</f>
        <v>Inversión</v>
      </c>
      <c r="S36" s="21" t="str">
        <f>IFERROR(_xlfn.LET(_xlpm.n,--_xlfn.TEXTBEFORE(_xlfn.TEXTAFTER(A36,"CONTRATO ")," DE"),_xlpm.c,"CONTRATO "&amp;TEXT(_xlpm.n,"00")&amp;" DE 2026",_xlpm.h,'[1]SECOP II'!$A$1:$CQ$1,_xlpm.d,'[1]SECOP II'!$A$2:$CQ$94,_xlpm.r,INDEX(_xlpm.d,0,MATCH("Referencia del Contrato",_xlpm.h,0)),INDEX(_xlpm.d,MATCH(_xlpm.c,_xlpm.r,0),MATCH("URLProceso",_xlpm.h,0))),"")</f>
        <v>https://community.secop.gov.co/Public/Tendering/OpportunityDetail/Index?noticeUID=CO1.NTC.9556924&amp;isFromPublicArea=True&amp;isModal=true&amp;asPopupView=true</v>
      </c>
      <c r="T36" s="22" t="str">
        <f>IFERROR(_xlfn.LET(_xlpm.h,'[1]SECOP II'!$A$1:$CQ$1,_xlpm.d,'[1]SECOP II'!$A$2:$CQ$94,_xlpm.r,INDEX(_xlpm.d,0,MATCH("Referencia del Contrato",_xlpm.h,0)),INDEX(_xlpm.d,MATCH("CONTRATO 35 DE 2026",_xlpm.r,0),MATCH("Estado Contrato",_xlpm.h,0))),"")</f>
        <v>En ejecución</v>
      </c>
      <c r="U36" s="10" t="str">
        <f>[1]Contratos!C36</f>
        <v>PN</v>
      </c>
      <c r="V36" s="10" t="str">
        <f>[1]Contratos!I36</f>
        <v>DISEÑO REGULATORIO / ANALÍTICA DE DATOS</v>
      </c>
      <c r="W36" s="23" t="str">
        <f>[1]Contratos!J36</f>
        <v>ALEJANDRA ARENAS</v>
      </c>
      <c r="X36" s="24" cm="1">
        <f t="array" ref="X36">IFERROR(VLOOKUP(W36,[1]COORD!$A$27:$B$67, 2, FALSE),[1]COORD!$B$27:$B$67)</f>
        <v>1020749984</v>
      </c>
      <c r="Y36" s="25" t="s">
        <v>35</v>
      </c>
      <c r="Z36" s="26">
        <v>16763217</v>
      </c>
      <c r="AA36" s="27" t="str" cm="1">
        <f t="array" ref="AA36">IF(Y36&lt;&gt;"NIT","N/A",IF(OR(Z36="",Z36="N/A"),"N/A",IF(ISERROR(VALUE(IF(ISNUMBER(FIND("-",TEXT(Z36,"@"))),LEFT(TEXT(Z36,"@"),FIND("-",TEXT(Z36,"@"))-1),TEXT(Z36,"@")))),"N/A",IF(MOD(SUMPRODUCT(VALUE(MID(TEXT(VALUE(IF(ISNUMBER(FIND("-",TEXT(Z36,"@"))),LEFT(TEXT(Z36,"@"),FIND("-",TEXT(Z36,"@"))-1),TEXT(Z36,"@"))),"000000000000000"),{15,14,13,12,11,10,9,8,7,6,5,4,3,2,1},1)),{3,7,13,17,19,23,29,37,41,43,47,53,59,67,71}),11)=0,0,IF(MOD(SUMPRODUCT(VALUE(MID(TEXT(VALUE(IF(ISNUMBER(FIND("-",TEXT(Z36,"@"))),LEFT(TEXT(Z36,"@"),FIND("-",TEXT(Z36,"@"))-1),TEXT(Z36,"@"))),"000000000000000"),{15,14,13,12,11,10,9,8,7,6,5,4,3,2,1},1)),{3,7,13,17,19,23,29,37,41,43,47,53,59,67,71}),11)=1,1,11-MOD(SUMPRODUCT(VALUE(MID(TEXT(VALUE(IF(ISNUMBER(FIND("-",TEXT(Z36,"@"))),LEFT(TEXT(Z36,"@"),FIND("-",TEXT(Z36,"@"))-1),TEXT(Z36,"@"))),"000000000000000"),{15,14,13,12,11,10,9,8,7,6,5,4,3,2,1},1)),{3,7,13,17,19,23,29,37,41,43,47,53,59,67,71}),11))))))</f>
        <v>N/A</v>
      </c>
      <c r="AB36" s="27">
        <v>81121500</v>
      </c>
      <c r="AC36" s="29" t="str">
        <f>[1]Contratos!Z36</f>
        <v>N/A</v>
      </c>
      <c r="AD36" s="30">
        <f t="shared" si="3"/>
        <v>345</v>
      </c>
      <c r="AE36" s="31" t="s">
        <v>37</v>
      </c>
      <c r="AF36" s="31" t="str" cm="1">
        <f t="array" ref="AF36">IF(AG36="","",IFERROR(_xlfn.LET(_xlpm.x,INDEX([1]RP!$Z$2:$Z$706,MATCH(AG36&amp;"",[1]RP!$A$2:$A$706&amp;"",0)),IF(_xlpm.x="","",_xlpm.x)),""))</f>
        <v>4026</v>
      </c>
      <c r="AG36" s="31" cm="1">
        <f t="array" ref="AG36">IF(A36="","",IFERROR(_xlfn.LET(_xlpm.rp,[1]RP!$A$2:$A$706,_xlpm.dt,IFERROR(DATE(--LEFT([1]RP!$B$2:$B$706,4),--MID([1]RP!$B$2:$B$706,6,2),--MID([1]RP!$B$2:$B$706,9,2)),0),_xlpm.qid,UPPER(SUBSTITUTE(SUBSTITUTE(SUBSTITUTE(SUBSTITUTE([1]RP!$Q$2:$Q$706,".",""),"-","")," ",""),"O","0")),_xlpm.eid,UPPER(SUBSTITUTE(SUBSTITUTE(SUBSTITUTE(SUBSTITUTE(Z36,".",""),"-","")," ",""),"O","0")),_xlpm.qnm,UPPER(SUBSTITUTE(SUBSTITUTE(SUBSTITUTE(SUBSTITUTE(SUBSTITUTE([1]RP!$R$2:$R$706,".",""),"-","")," ",""),"Á","A"),"É","E")),_xlpm.enm,UPPER(SUBSTITUTE(SUBSTITUTE(SUBSTITUTE(SUBSTITUTE(SUBSTITUTE(B36,".",""),"-",""),"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36,"CONTRATO ")," DE")&amp;"/2026",_xlpm.dm,--ISNUMBER(SEARCH(_xlpm.num,_xlpm.sup)),_xlpm.dif,IF(_xlpm.ok,(1-_xlpm.dm)*1000000+IF(AND(ISNUMBER(M36),M36&gt;0),ABS(_xlpm.dt-M36),0),1E+99),_xlpm.md,MIN(_xlpm.dif),INDEX(_xlfn._xlws.FILTER(_xlpm.rp,(_xlpm.ok&gt;0)*(_xlpm.dif=_xlpm.md)),1)),""))</f>
        <v>7426</v>
      </c>
      <c r="AH36" s="32" cm="1">
        <f t="array" ref="AH36">IF(AF36="","",IFERROR(_xlfn.LET(_xlpm.x,INDEX([1]CDP!$B$2:$B$322,MATCH(AF36&amp;"",[1]CDP!$A$2:$A$322&amp;"",0)),IF(ISNUMBER(_xlpm.x),_xlpm.x,DATE(--LEFT(_xlpm.x,4),--MID(_xlpm.x,6,2),--MID(_xlpm.x,9,2)))),""))</f>
        <v>46030</v>
      </c>
    </row>
    <row r="37" spans="1:34" ht="61.5" customHeight="1" x14ac:dyDescent="0.35">
      <c r="A37" s="1" t="str">
        <f>[1]Contratos!A37</f>
        <v>CONTRATO 36 DE 2026</v>
      </c>
      <c r="B37" s="10" t="str">
        <f>[1]Contratos!B37</f>
        <v>JUAN CARLOS NIÑO</v>
      </c>
      <c r="C37" s="10" t="str">
        <f>[1]Contratos!E37</f>
        <v>Prestación de servicios profesionales o Apoyo a la gestión</v>
      </c>
      <c r="D37" s="10" t="s">
        <v>88</v>
      </c>
      <c r="E37" s="11" t="str">
        <f>[1]Contratos!F37</f>
        <v>Prestacion de servicios profesionales especializados en las áreas del conocimiento de contabilidad y auditoría, integrando actividades de análisis y revisión de información financiera de los agentes regulados por la CRC, así como la aplicación e interpretación de las Normas Internacionales de la Información Financiera (NIIF), con el fin de respaldar y fortalecer el desarrollo de proyectos regulatorios y otras actividades misionales de la Entidad, incluido el observatorio de inversión en telecomunicaciones, de acuerdo con lo previsto en la Agenda Regulatoria 2026–2027 y el Plan de Acción de la CRC para el año 2026.</v>
      </c>
      <c r="F37" s="12">
        <v>154992000</v>
      </c>
      <c r="G37" s="13">
        <f>[1]Contratos!G37</f>
        <v>154992000</v>
      </c>
      <c r="H37" s="14" t="str">
        <f>IFERROR(VLOOKUP(A37, [1]Otrosí!A:F, 6, FALSE), "0")</f>
        <v>0</v>
      </c>
      <c r="I37" s="13">
        <f t="shared" si="0"/>
        <v>154992000</v>
      </c>
      <c r="J37" s="15">
        <f>IFERROR(_xlfn.LET(_xlpm.x,_xlfn.LET(_xlpm.n,--_xlfn.TEXTBEFORE(_xlfn.TEXTAFTER(A37,"CONTRATO ")," DE"),_xlpm.c,"CONTRATO "&amp;TEXT(_xlpm.n,"00")&amp;" DE 2026",_xlpm.h,'[1]SECOP II'!$A$1:$CQ$1,_xlpm.d,'[1]SECOP II'!$A$2:$CQ$94,_xlpm.r,INDEX(_xlpm.d,0,MATCH("Referencia del Contrato",_xlpm.h,0)),INDEX(_xlpm.d,MATCH(_xlpm.c,_xlpm.r,0),MATCH("Valor Pagado",_xlpm.h,0))),_xlfn.NUMBERVALUE(SUBSTITUTE(_xlpm.x,"$",""),".",",")),"")</f>
        <v>51266793</v>
      </c>
      <c r="K37" s="16">
        <f t="shared" si="1"/>
        <v>103725207</v>
      </c>
      <c r="L37" s="17">
        <f t="shared" si="2"/>
        <v>0.33077057525549708</v>
      </c>
      <c r="M37" s="18">
        <f>[1]Contratos!O37</f>
        <v>46037</v>
      </c>
      <c r="N37" s="18">
        <f>[1]Contratos!P37</f>
        <v>46041</v>
      </c>
      <c r="O37" s="18">
        <f>[1]Contratos!Q37</f>
        <v>46387</v>
      </c>
      <c r="P37" s="18" t="str">
        <f>IFERROR(VLOOKUP(A37, [1]Otrosí!A:L, 7, FALSE), "N/A")</f>
        <v>N/A</v>
      </c>
      <c r="Q37" s="19" t="str">
        <f>IFERROR(_xlfn.LET(_xlpm.h,'[1]SECOP II'!$A$1:$CQ$1,_xlpm.d,'[1]SECOP II'!$A$2:$CQ$94,_xlpm.r,INDEX(_xlpm.d,0,MATCH("Referencia del Contrato",_xlpm.h,0)),INDEX(_xlpm.d,MATCH("CONTRATO 36 DE 2026",_xlpm.r,0),MATCH("Tipo de Contrato",_xlpm.h,0))),"")</f>
        <v>Prestación de servicios</v>
      </c>
      <c r="R37" s="20" t="str">
        <f>IFERROR(_xlfn.LET(_xlpm.n,--_xlfn.TEXTBEFORE(_xlfn.TEXTAFTER(A37,"CONTRATO ")," DE"),_xlpm.c,"CONTRATO "&amp;TEXT(_xlpm.n,"00")&amp;" DE 2026",_xlpm.h,'[1]SECOP II'!$A$1:$CQ$1,_xlpm.d,'[1]SECOP II'!$A$2:$CQ$94,_xlpm.r,INDEX(_xlpm.d,0,MATCH("Referencia del Contrato",_xlpm.h,0)),INDEX(_xlpm.d,MATCH(_xlpm.c,_xlpm.r,0),MATCH("Destino Gasto",_xlpm.h,0))),"")</f>
        <v>Inversión</v>
      </c>
      <c r="S37" s="21" t="str">
        <f>IFERROR(_xlfn.LET(_xlpm.n,--_xlfn.TEXTBEFORE(_xlfn.TEXTAFTER(A37,"CONTRATO ")," DE"),_xlpm.c,"CONTRATO "&amp;TEXT(_xlpm.n,"00")&amp;" DE 2026",_xlpm.h,'[1]SECOP II'!$A$1:$CQ$1,_xlpm.d,'[1]SECOP II'!$A$2:$CQ$94,_xlpm.r,INDEX(_xlpm.d,0,MATCH("Referencia del Contrato",_xlpm.h,0)),INDEX(_xlpm.d,MATCH(_xlpm.c,_xlpm.r,0),MATCH("URLProceso",_xlpm.h,0))),"")</f>
        <v>https://community.secop.gov.co/Public/Tendering/OpportunityDetail/Index?noticeUID=CO1.NTC.9527269&amp;isFromPublicArea=True&amp;isModal=true&amp;asPopupView=true</v>
      </c>
      <c r="T37" s="22" t="str">
        <f>IFERROR(_xlfn.LET(_xlpm.h,'[1]SECOP II'!$A$1:$CQ$1,_xlpm.d,'[1]SECOP II'!$A$2:$CQ$94,_xlpm.r,INDEX(_xlpm.d,0,MATCH("Referencia del Contrato",_xlpm.h,0)),INDEX(_xlpm.d,MATCH("CONTRATO 36 DE 2026",_xlpm.r,0),MATCH("Estado Contrato",_xlpm.h,0))),"")</f>
        <v>En ejecución</v>
      </c>
      <c r="U37" s="10" t="str">
        <f>[1]Contratos!C37</f>
        <v>PN</v>
      </c>
      <c r="V37" s="10" t="str">
        <f>[1]Contratos!I37</f>
        <v>DISEÑO REGULATORIO / ANALÍTICA DE DATOS</v>
      </c>
      <c r="W37" s="23" t="str">
        <f>[1]Contratos!J37</f>
        <v>MIGUEL DURÁN</v>
      </c>
      <c r="X37" s="24" cm="1">
        <f t="array" ref="X37">IFERROR(VLOOKUP(W37,[1]COORD!$A$27:$B$67, 2, FALSE),[1]COORD!$B$27:$B$67)</f>
        <v>92541020</v>
      </c>
      <c r="Y37" s="25" t="s">
        <v>35</v>
      </c>
      <c r="Z37" s="26">
        <v>79444625</v>
      </c>
      <c r="AA37" s="27" t="str" cm="1">
        <f t="array" ref="AA37">IF(Y37&lt;&gt;"NIT","N/A",IF(OR(Z37="",Z37="N/A"),"N/A",IF(ISERROR(VALUE(IF(ISNUMBER(FIND("-",TEXT(Z37,"@"))),LEFT(TEXT(Z37,"@"),FIND("-",TEXT(Z37,"@"))-1),TEXT(Z37,"@")))),"N/A",IF(MOD(SUMPRODUCT(VALUE(MID(TEXT(VALUE(IF(ISNUMBER(FIND("-",TEXT(Z37,"@"))),LEFT(TEXT(Z37,"@"),FIND("-",TEXT(Z37,"@"))-1),TEXT(Z37,"@"))),"000000000000000"),{15,14,13,12,11,10,9,8,7,6,5,4,3,2,1},1)),{3,7,13,17,19,23,29,37,41,43,47,53,59,67,71}),11)=0,0,IF(MOD(SUMPRODUCT(VALUE(MID(TEXT(VALUE(IF(ISNUMBER(FIND("-",TEXT(Z37,"@"))),LEFT(TEXT(Z37,"@"),FIND("-",TEXT(Z37,"@"))-1),TEXT(Z37,"@"))),"000000000000000"),{15,14,13,12,11,10,9,8,7,6,5,4,3,2,1},1)),{3,7,13,17,19,23,29,37,41,43,47,53,59,67,71}),11)=1,1,11-MOD(SUMPRODUCT(VALUE(MID(TEXT(VALUE(IF(ISNUMBER(FIND("-",TEXT(Z37,"@"))),LEFT(TEXT(Z37,"@"),FIND("-",TEXT(Z37,"@"))-1),TEXT(Z37,"@"))),"000000000000000"),{15,14,13,12,11,10,9,8,7,6,5,4,3,2,1},1)),{3,7,13,17,19,23,29,37,41,43,47,53,59,67,71}),11))))))</f>
        <v>N/A</v>
      </c>
      <c r="AB37" s="27">
        <v>84111501</v>
      </c>
      <c r="AC37" s="29" t="str">
        <f>[1]Contratos!Z37</f>
        <v>NO</v>
      </c>
      <c r="AD37" s="30">
        <f t="shared" si="3"/>
        <v>350</v>
      </c>
      <c r="AE37" s="31" t="s">
        <v>37</v>
      </c>
      <c r="AF37" s="31" t="str" cm="1">
        <f t="array" ref="AF37">IF(AG37="","",IFERROR(_xlfn.LET(_xlpm.x,INDEX([1]RP!$Z$2:$Z$706,MATCH(AG37&amp;"",[1]RP!$A$2:$A$706&amp;"",0)),IF(_xlpm.x="","",_xlpm.x)),""))</f>
        <v>4126</v>
      </c>
      <c r="AG37" s="31" cm="1">
        <f t="array" ref="AG37">IF(A37="","",IFERROR(_xlfn.LET(_xlpm.rp,[1]RP!$A$2:$A$706,_xlpm.dt,IFERROR(DATE(--LEFT([1]RP!$B$2:$B$706,4),--MID([1]RP!$B$2:$B$706,6,2),--MID([1]RP!$B$2:$B$706,9,2)),0),_xlpm.qid,UPPER(SUBSTITUTE(SUBSTITUTE(SUBSTITUTE(SUBSTITUTE([1]RP!$Q$2:$Q$706,".",""),"-","")," ",""),"O","0")),_xlpm.eid,UPPER(SUBSTITUTE(SUBSTITUTE(SUBSTITUTE(SUBSTITUTE(Z37,".",""),"-","")," ",""),"O","0")),_xlpm.qnm,UPPER(SUBSTITUTE(SUBSTITUTE(SUBSTITUTE(SUBSTITUTE(SUBSTITUTE([1]RP!$R$2:$R$706,".",""),"-","")," ",""),"Á","A"),"É","E")),_xlpm.enm,UPPER(SUBSTITUTE(SUBSTITUTE(SUBSTITUTE(SUBSTITUTE(SUBSTITUTE(B37,".",""),"-",""),"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37,"CONTRATO ")," DE")&amp;"/2026",_xlpm.dm,--ISNUMBER(SEARCH(_xlpm.num,_xlpm.sup)),_xlpm.dif,IF(_xlpm.ok,(1-_xlpm.dm)*1000000+IF(AND(ISNUMBER(M37),M37&gt;0),ABS(_xlpm.dt-M37),0),1E+99),_xlpm.md,MIN(_xlpm.dif),INDEX(_xlfn._xlws.FILTER(_xlpm.rp,(_xlpm.ok&gt;0)*(_xlpm.dif=_xlpm.md)),1)),""))</f>
        <v>4926</v>
      </c>
      <c r="AH37" s="32" cm="1">
        <f t="array" ref="AH37">IF(AF37="","",IFERROR(_xlfn.LET(_xlpm.x,INDEX([1]CDP!$B$2:$B$322,MATCH(AF37&amp;"",[1]CDP!$A$2:$A$322&amp;"",0)),IF(ISNUMBER(_xlpm.x),_xlpm.x,DATE(--LEFT(_xlpm.x,4),--MID(_xlpm.x,6,2),--MID(_xlpm.x,9,2)))),""))</f>
        <v>46030</v>
      </c>
    </row>
    <row r="38" spans="1:34" ht="61.5" customHeight="1" x14ac:dyDescent="0.35">
      <c r="A38" s="1" t="str">
        <f>[1]Contratos!A38</f>
        <v>CONTRATO 37 DE 2026</v>
      </c>
      <c r="B38" s="10" t="str">
        <f>[1]Contratos!B38</f>
        <v>JUAN DAVID BOTERO</v>
      </c>
      <c r="C38" s="10" t="str">
        <f>[1]Contratos!E38</f>
        <v>Prestación de servicios profesionales o Apoyo a la gestión</v>
      </c>
      <c r="D38" s="10" t="s">
        <v>89</v>
      </c>
      <c r="E38" s="11" t="str">
        <f>[1]Contratos!F38</f>
        <v>prestar servicios profesionales especializados en urbanismo, planificación territorial y diseño arquitectónico para brindar asistencia técnica a la CRC en el análisis, revisión y formulación de insumos que permitan identificar y gestionar condiciones urbanísticas que incidan en el despliegue de infraestructura de telecomunicaciones del país. El servicio incluirá la elaboración de conceptos técnicos asociados a la actualización del Reglamento Técnico para Redes Internas de Telecomunicaciones (RITEL), expedido mediante la Resolución CRC 7930 de 2025, así como el soporte en temas arquitectónicos y urbanísticos que resulten pertinentes conforme a la Agenda Regulatoria 2026–2027 y al Plan de Acción de la CRC para el año 2026</v>
      </c>
      <c r="F38" s="12">
        <v>112943604</v>
      </c>
      <c r="G38" s="13">
        <f>[1]Contratos!G38</f>
        <v>112943604</v>
      </c>
      <c r="H38" s="14" t="str">
        <f>IFERROR(VLOOKUP(A38, [1]Otrosí!A:F, 6, FALSE), "0")</f>
        <v>0</v>
      </c>
      <c r="I38" s="13">
        <f t="shared" si="0"/>
        <v>112943604</v>
      </c>
      <c r="J38" s="15">
        <f>IFERROR(_xlfn.LET(_xlpm.x,_xlfn.LET(_xlpm.n,--_xlfn.TEXTBEFORE(_xlfn.TEXTAFTER(A38,"CONTRATO ")," DE"),_xlpm.c,"CONTRATO "&amp;TEXT(_xlpm.n,"00")&amp;" DE 2026",_xlpm.h,'[1]SECOP II'!$A$1:$CQ$1,_xlpm.d,'[1]SECOP II'!$A$2:$CQ$94,_xlpm.r,INDEX(_xlpm.d,0,MATCH("Referencia del Contrato",_xlpm.h,0)),INDEX(_xlpm.d,MATCH(_xlpm.c,_xlpm.r,0),MATCH("Valor Pagado",_xlpm.h,0))),_xlfn.NUMBERVALUE(SUBSTITUTE(_xlpm.x,"$",""),".",",")),"")</f>
        <v>72003356</v>
      </c>
      <c r="K38" s="16">
        <f t="shared" si="1"/>
        <v>40940248</v>
      </c>
      <c r="L38" s="17">
        <f t="shared" si="2"/>
        <v>0.63751601197355101</v>
      </c>
      <c r="M38" s="18">
        <f>[1]Contratos!O38</f>
        <v>46037</v>
      </c>
      <c r="N38" s="18">
        <f>[1]Contratos!P38</f>
        <v>46042</v>
      </c>
      <c r="O38" s="18">
        <f>[1]Contratos!Q38</f>
        <v>46387</v>
      </c>
      <c r="P38" s="18" t="str">
        <f>IFERROR(VLOOKUP(A38, [1]Otrosí!A:L, 7, FALSE), "N/A")</f>
        <v>N/A</v>
      </c>
      <c r="Q38" s="19" t="str">
        <f>IFERROR(_xlfn.LET(_xlpm.h,'[1]SECOP II'!$A$1:$CQ$1,_xlpm.d,'[1]SECOP II'!$A$2:$CQ$94,_xlpm.r,INDEX(_xlpm.d,0,MATCH("Referencia del Contrato",_xlpm.h,0)),INDEX(_xlpm.d,MATCH("CONTRATO 37 DE 2026",_xlpm.r,0),MATCH("Tipo de Contrato",_xlpm.h,0))),"")</f>
        <v>Prestación de servicios</v>
      </c>
      <c r="R38" s="20" t="str">
        <f>IFERROR(_xlfn.LET(_xlpm.n,--_xlfn.TEXTBEFORE(_xlfn.TEXTAFTER(A38,"CONTRATO ")," DE"),_xlpm.c,"CONTRATO "&amp;TEXT(_xlpm.n,"00")&amp;" DE 2026",_xlpm.h,'[1]SECOP II'!$A$1:$CQ$1,_xlpm.d,'[1]SECOP II'!$A$2:$CQ$94,_xlpm.r,INDEX(_xlpm.d,0,MATCH("Referencia del Contrato",_xlpm.h,0)),INDEX(_xlpm.d,MATCH(_xlpm.c,_xlpm.r,0),MATCH("Destino Gasto",_xlpm.h,0))),"")</f>
        <v>Inversión</v>
      </c>
      <c r="S38" s="21" t="str">
        <f>IFERROR(_xlfn.LET(_xlpm.n,--_xlfn.TEXTBEFORE(_xlfn.TEXTAFTER(A38,"CONTRATO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https://community.secop.gov.co/Public/Tendering/OpportunityDetail/Index?noticeUID=CO1.NTC.9487762&amp;isFromPublicArea=True&amp;isModal=true&amp;asPopupView=true</v>
      </c>
      <c r="T38" s="22" t="str">
        <f>IFERROR(_xlfn.LET(_xlpm.h,'[1]SECOP II'!$A$1:$CQ$1,_xlpm.d,'[1]SECOP II'!$A$2:$CQ$94,_xlpm.r,INDEX(_xlpm.d,0,MATCH("Referencia del Contrato",_xlpm.h,0)),INDEX(_xlpm.d,MATCH("CONTRATO 37 DE 2026",_xlpm.r,0),MATCH("Estado Contrato",_xlpm.h,0))),"")</f>
        <v>En ejecución</v>
      </c>
      <c r="U38" s="10" t="str">
        <f>[1]Contratos!C38</f>
        <v>PN</v>
      </c>
      <c r="V38" s="10" t="str">
        <f>[1]Contratos!I38</f>
        <v>GESTIÓN JURÍDICA</v>
      </c>
      <c r="W38" s="23" t="str">
        <f>[1]Contratos!J38</f>
        <v>VICTOR SANDOVAL</v>
      </c>
      <c r="X38" s="24" cm="1">
        <f t="array" ref="X38">IFERROR(VLOOKUP(W38,[1]COORD!$A$27:$B$67, 2, FALSE),[1]COORD!$B$27:$B$67)</f>
        <v>1026264211</v>
      </c>
      <c r="Y38" s="25" t="s">
        <v>35</v>
      </c>
      <c r="Z38" s="26">
        <v>71313369</v>
      </c>
      <c r="AA38" s="27" t="str" cm="1">
        <f t="array" ref="AA38">IF(Y38&lt;&gt;"NIT","N/A",IF(OR(Z38="",Z38="N/A"),"N/A",IF(ISERROR(VALUE(IF(ISNUMBER(FIND("-",TEXT(Z38,"@"))),LEFT(TEXT(Z38,"@"),FIND("-",TEXT(Z38,"@"))-1),TEXT(Z38,"@")))),"N/A",IF(MOD(SUMPRODUCT(VALUE(MID(TEXT(VALUE(IF(ISNUMBER(FIND("-",TEXT(Z38,"@"))),LEFT(TEXT(Z38,"@"),FIND("-",TEXT(Z38,"@"))-1),TEXT(Z38,"@"))),"000000000000000"),{15,14,13,12,11,10,9,8,7,6,5,4,3,2,1},1)),{3,7,13,17,19,23,29,37,41,43,47,53,59,67,71}),11)=0,0,IF(MOD(SUMPRODUCT(VALUE(MID(TEXT(VALUE(IF(ISNUMBER(FIND("-",TEXT(Z38,"@"))),LEFT(TEXT(Z38,"@"),FIND("-",TEXT(Z38,"@"))-1),TEXT(Z38,"@"))),"000000000000000"),{15,14,13,12,11,10,9,8,7,6,5,4,3,2,1},1)),{3,7,13,17,19,23,29,37,41,43,47,53,59,67,71}),11)=1,1,11-MOD(SUMPRODUCT(VALUE(MID(TEXT(VALUE(IF(ISNUMBER(FIND("-",TEXT(Z38,"@"))),LEFT(TEXT(Z38,"@"),FIND("-",TEXT(Z38,"@"))-1),TEXT(Z38,"@"))),"000000000000000"),{15,14,13,12,11,10,9,8,7,6,5,4,3,2,1},1)),{3,7,13,17,19,23,29,37,41,43,47,53,59,67,71}),11))))))</f>
        <v>N/A</v>
      </c>
      <c r="AB38" s="27">
        <v>81101500</v>
      </c>
      <c r="AC38" s="29" t="str">
        <f>[1]Contratos!Z38</f>
        <v>NO</v>
      </c>
      <c r="AD38" s="30">
        <f t="shared" si="3"/>
        <v>350</v>
      </c>
      <c r="AE38" s="31" t="s">
        <v>37</v>
      </c>
      <c r="AF38" s="31" t="str" cm="1">
        <f t="array" ref="AF38">IF(AG38="","",IFERROR(_xlfn.LET(_xlpm.x,INDEX([1]RP!$Z$2:$Z$706,MATCH(AG38&amp;"",[1]RP!$A$2:$A$706&amp;"",0)),IF(_xlpm.x="","",_xlpm.x)),""))</f>
        <v>5326</v>
      </c>
      <c r="AG38" s="31" cm="1">
        <f t="array" ref="AG38">IF(A38="","",IFERROR(_xlfn.LET(_xlpm.rp,[1]RP!$A$2:$A$706,_xlpm.dt,IFERROR(DATE(--LEFT([1]RP!$B$2:$B$706,4),--MID([1]RP!$B$2:$B$706,6,2),--MID([1]RP!$B$2:$B$706,9,2)),0),_xlpm.qid,UPPER(SUBSTITUTE(SUBSTITUTE(SUBSTITUTE(SUBSTITUTE([1]RP!$Q$2:$Q$706,".",""),"-","")," ",""),"O","0")),_xlpm.eid,UPPER(SUBSTITUTE(SUBSTITUTE(SUBSTITUTE(SUBSTITUTE(Z38,".",""),"-","")," ",""),"O","0")),_xlpm.qnm,UPPER(SUBSTITUTE(SUBSTITUTE(SUBSTITUTE(SUBSTITUTE(SUBSTITUTE([1]RP!$R$2:$R$706,".",""),"-","")," ",""),"Á","A"),"É","E")),_xlpm.enm,UPPER(SUBSTITUTE(SUBSTITUTE(SUBSTITUTE(SUBSTITUTE(SUBSTITUTE(B38,".",""),"-",""),"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38,"CONTRATO ")," DE")&amp;"/2026",_xlpm.dm,--ISNUMBER(SEARCH(_xlpm.num,_xlpm.sup)),_xlpm.dif,IF(_xlpm.ok,(1-_xlpm.dm)*1000000+IF(AND(ISNUMBER(M38),M38&gt;0),ABS(_xlpm.dt-M38),0),1E+99),_xlpm.md,MIN(_xlpm.dif),INDEX(_xlfn._xlws.FILTER(_xlpm.rp,(_xlpm.ok&gt;0)*(_xlpm.dif=_xlpm.md)),1)),""))</f>
        <v>5026</v>
      </c>
      <c r="AH38" s="32" cm="1">
        <f t="array" ref="AH38">IF(AF38="","",IFERROR(_xlfn.LET(_xlpm.x,INDEX([1]CDP!$B$2:$B$322,MATCH(AF38&amp;"",[1]CDP!$A$2:$A$322&amp;"",0)),IF(ISNUMBER(_xlpm.x),_xlpm.x,DATE(--LEFT(_xlpm.x,4),--MID(_xlpm.x,6,2),--MID(_xlpm.x,9,2)))),""))</f>
        <v>46030</v>
      </c>
    </row>
    <row r="39" spans="1:34" ht="61.5" customHeight="1" x14ac:dyDescent="0.35">
      <c r="A39" s="1" t="str">
        <f>[1]Contratos!A39</f>
        <v>CONTRATO 38 DE 2026</v>
      </c>
      <c r="B39" s="10" t="str">
        <f>[1]Contratos!B39</f>
        <v xml:space="preserve">JUAN NICOLAS AYALA RODRIGUEZ  </v>
      </c>
      <c r="C39" s="10" t="str">
        <f>[1]Contratos!E39</f>
        <v>Prestación de servicios profesionales o Apoyo a la gestión</v>
      </c>
      <c r="D39" s="10" t="s">
        <v>90</v>
      </c>
      <c r="E39" s="11" t="str">
        <f>[1]Contratos!F39</f>
        <v>Prestar los servicios profesionales especializados para apoyar la implementación y gestión del modelo de seguridad y privacidad de la información de la Comisión de Regulación de Comunicaciones – CRC, mediante la operación y consolidación del Sistema de Gestión de Seguridad y Privacidad de la Información (SGSPI); así como, ejercer el acompañamiento que se requiera en el proceso de liderazgo para la ejecución y fortalecimiento del Sistema de Gestión de Continuidad del Negocio – SGCN, de acuerdo con el alcance definido para la vigencia 2026.</v>
      </c>
      <c r="F39" s="12">
        <v>172500000</v>
      </c>
      <c r="G39" s="13">
        <f>[1]Contratos!G39</f>
        <v>172500000</v>
      </c>
      <c r="H39" s="14" t="str">
        <f>IFERROR(VLOOKUP(A39, [1]Otrosí!A:F, 6, FALSE), "0")</f>
        <v>0</v>
      </c>
      <c r="I39" s="13">
        <f t="shared" si="0"/>
        <v>172500000</v>
      </c>
      <c r="J39" s="15">
        <f>IFERROR(_xlfn.LET(_xlpm.x,_xlfn.LET(_xlpm.n,--_xlfn.TEXTBEFORE(_xlfn.TEXTAFTER(A39,"CONTRATO ")," DE"),_xlpm.c,"CONTRATO "&amp;TEXT(_xlpm.n,"00")&amp;" DE 2026",_xlpm.h,'[1]SECOP II'!$A$1:$CQ$1,_xlpm.d,'[1]SECOP II'!$A$2:$CQ$94,_xlpm.r,INDEX(_xlpm.d,0,MATCH("Referencia del Contrato",_xlpm.h,0)),INDEX(_xlpm.d,MATCH(_xlpm.c,_xlpm.r,0),MATCH("Valor Pagado",_xlpm.h,0))),_xlfn.NUMBERVALUE(SUBSTITUTE(_xlpm.x,"$",""),".",",")),"")</f>
        <v>97500000</v>
      </c>
      <c r="K39" s="16">
        <f t="shared" si="1"/>
        <v>75000000</v>
      </c>
      <c r="L39" s="17">
        <f t="shared" si="2"/>
        <v>0.56521739130434778</v>
      </c>
      <c r="M39" s="18">
        <f>[1]Contratos!O39</f>
        <v>46037</v>
      </c>
      <c r="N39" s="18">
        <f>[1]Contratos!P39</f>
        <v>46038</v>
      </c>
      <c r="O39" s="18">
        <f>[1]Contratos!Q39</f>
        <v>46387</v>
      </c>
      <c r="P39" s="18" t="str">
        <f>IFERROR(VLOOKUP(A39, [1]Otrosí!A:L, 7, FALSE), "N/A")</f>
        <v>N/A</v>
      </c>
      <c r="Q39" s="19" t="str">
        <f>IFERROR(_xlfn.LET(_xlpm.h,'[1]SECOP II'!$A$1:$CQ$1,_xlpm.d,'[1]SECOP II'!$A$2:$CQ$94,_xlpm.r,INDEX(_xlpm.d,0,MATCH("Referencia del Contrato",_xlpm.h,0)),INDEX(_xlpm.d,MATCH("CONTRATO 38 DE 2026",_xlpm.r,0),MATCH("Tipo de Contrato",_xlpm.h,0))),"")</f>
        <v>Prestación de servicios</v>
      </c>
      <c r="R39" s="20" t="str">
        <f>IFERROR(_xlfn.LET(_xlpm.n,--_xlfn.TEXTBEFORE(_xlfn.TEXTAFTER(A39,"CONTRATO ")," DE"),_xlpm.c,"CONTRATO "&amp;TEXT(_xlpm.n,"00")&amp;" DE 2026",_xlpm.h,'[1]SECOP II'!$A$1:$CQ$1,_xlpm.d,'[1]SECOP II'!$A$2:$CQ$94,_xlpm.r,INDEX(_xlpm.d,0,MATCH("Referencia del Contrato",_xlpm.h,0)),INDEX(_xlpm.d,MATCH(_xlpm.c,_xlpm.r,0),MATCH("Destino Gasto",_xlpm.h,0))),"")</f>
        <v>Inversión</v>
      </c>
      <c r="S39" s="21" t="str">
        <f>IFERROR(_xlfn.LET(_xlpm.n,--_xlfn.TEXTBEFORE(_xlfn.TEXTAFTER(A39,"CONTRATO ")," DE"),_xlpm.c,"CONTRATO "&amp;TEXT(_xlpm.n,"00")&amp;" DE 2026",_xlpm.h,'[1]SECOP II'!$A$1:$CQ$1,_xlpm.d,'[1]SECOP II'!$A$2:$CQ$94,_xlpm.r,INDEX(_xlpm.d,0,MATCH("Referencia del Contrato",_xlpm.h,0)),INDEX(_xlpm.d,MATCH(_xlpm.c,_xlpm.r,0),MATCH("URLProceso",_xlpm.h,0))),"")</f>
        <v>https://community.secop.gov.co/Public/Tendering/OpportunityDetail/Index?noticeUID=CO1.NTC.9517426&amp;isFromPublicArea=True&amp;isModal=true&amp;asPopupView=true</v>
      </c>
      <c r="T39" s="22" t="str">
        <f>IFERROR(_xlfn.LET(_xlpm.h,'[1]SECOP II'!$A$1:$CQ$1,_xlpm.d,'[1]SECOP II'!$A$2:$CQ$94,_xlpm.r,INDEX(_xlpm.d,0,MATCH("Referencia del Contrato",_xlpm.h,0)),INDEX(_xlpm.d,MATCH("CONTRATO 38 DE 2026",_xlpm.r,0),MATCH("Estado Contrato",_xlpm.h,0))),"")</f>
        <v>En ejecución</v>
      </c>
      <c r="U39" s="10" t="str">
        <f>[1]Contratos!C39</f>
        <v>PN</v>
      </c>
      <c r="V39" s="10" t="str">
        <f>[1]Contratos!I39</f>
        <v>PLANEACIÓN Y GESTIÓN / TECNOLOGÍAS Y SIST. DE INF.</v>
      </c>
      <c r="W39" s="23" t="str">
        <f>[1]Contratos!J39</f>
        <v>SANDRA VILLABONA / INGRID PICÓN</v>
      </c>
      <c r="X39" s="24" t="str" cm="1">
        <f t="array" ref="X39">IFERROR(VLOOKUP(W39,[1]COORD!$A$27:$B$67, 2, FALSE),[1]COORD!$B$27:$B$67)</f>
        <v>52989096 / 60372503</v>
      </c>
      <c r="Y39" s="25" t="s">
        <v>35</v>
      </c>
      <c r="Z39" s="26">
        <v>1023883423</v>
      </c>
      <c r="AA39" s="27" t="str" cm="1">
        <f t="array" ref="AA39">IF(Y39&lt;&gt;"NIT","N/A",IF(OR(Z39="",Z39="N/A"),"N/A",IF(ISERROR(VALUE(IF(ISNUMBER(FIND("-",TEXT(Z39,"@"))),LEFT(TEXT(Z39,"@"),FIND("-",TEXT(Z39,"@"))-1),TEXT(Z39,"@")))),"N/A",IF(MOD(SUMPRODUCT(VALUE(MID(TEXT(VALUE(IF(ISNUMBER(FIND("-",TEXT(Z39,"@"))),LEFT(TEXT(Z39,"@"),FIND("-",TEXT(Z39,"@"))-1),TEXT(Z39,"@"))),"000000000000000"),{15,14,13,12,11,10,9,8,7,6,5,4,3,2,1},1)),{3,7,13,17,19,23,29,37,41,43,47,53,59,67,71}),11)=0,0,IF(MOD(SUMPRODUCT(VALUE(MID(TEXT(VALUE(IF(ISNUMBER(FIND("-",TEXT(Z39,"@"))),LEFT(TEXT(Z39,"@"),FIND("-",TEXT(Z39,"@"))-1),TEXT(Z39,"@"))),"000000000000000"),{15,14,13,12,11,10,9,8,7,6,5,4,3,2,1},1)),{3,7,13,17,19,23,29,37,41,43,47,53,59,67,71}),11)=1,1,11-MOD(SUMPRODUCT(VALUE(MID(TEXT(VALUE(IF(ISNUMBER(FIND("-",TEXT(Z39,"@"))),LEFT(TEXT(Z39,"@"),FIND("-",TEXT(Z39,"@"))-1),TEXT(Z39,"@"))),"000000000000000"),{15,14,13,12,11,10,9,8,7,6,5,4,3,2,1},1)),{3,7,13,17,19,23,29,37,41,43,47,53,59,67,71}),11))))))</f>
        <v>N/A</v>
      </c>
      <c r="AB39" s="27">
        <v>81111507</v>
      </c>
      <c r="AC39" s="29" t="str">
        <f>[1]Contratos!Z39</f>
        <v>N/A</v>
      </c>
      <c r="AD39" s="30">
        <f t="shared" si="3"/>
        <v>350</v>
      </c>
      <c r="AE39" s="31" t="s">
        <v>37</v>
      </c>
      <c r="AF39" s="31" t="str" cm="1">
        <f t="array" ref="AF39">IF(AG39="","",IFERROR(_xlfn.LET(_xlpm.x,INDEX([1]RP!$Z$2:$Z$706,MATCH(AG39&amp;"",[1]RP!$A$2:$A$706&amp;"",0)),IF(_xlpm.x="","",_xlpm.x)),""))</f>
        <v>3326</v>
      </c>
      <c r="AG39" s="31" cm="1">
        <f t="array" ref="AG39">IF(A39="","",IFERROR(_xlfn.LET(_xlpm.rp,[1]RP!$A$2:$A$706,_xlpm.dt,IFERROR(DATE(--LEFT([1]RP!$B$2:$B$706,4),--MID([1]RP!$B$2:$B$706,6,2),--MID([1]RP!$B$2:$B$706,9,2)),0),_xlpm.qid,UPPER(SUBSTITUTE(SUBSTITUTE(SUBSTITUTE(SUBSTITUTE([1]RP!$Q$2:$Q$706,".",""),"-","")," ",""),"O","0")),_xlpm.eid,UPPER(SUBSTITUTE(SUBSTITUTE(SUBSTITUTE(SUBSTITUTE(Z39,".",""),"-","")," ",""),"O","0")),_xlpm.qnm,UPPER(SUBSTITUTE(SUBSTITUTE(SUBSTITUTE(SUBSTITUTE(SUBSTITUTE([1]RP!$R$2:$R$706,".",""),"-","")," ",""),"Á","A"),"É","E")),_xlpm.enm,UPPER(SUBSTITUTE(SUBSTITUTE(SUBSTITUTE(SUBSTITUTE(SUBSTITUTE(B39,".",""),"-",""),"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39,"CONTRATO ")," DE")&amp;"/2026",_xlpm.dm,--ISNUMBER(SEARCH(_xlpm.num,_xlpm.sup)),_xlpm.dif,IF(_xlpm.ok,(1-_xlpm.dm)*1000000+IF(AND(ISNUMBER(M39),M39&gt;0),ABS(_xlpm.dt-M39),0),1E+99),_xlpm.md,MIN(_xlpm.dif),INDEX(_xlfn._xlws.FILTER(_xlpm.rp,(_xlpm.ok&gt;0)*(_xlpm.dif=_xlpm.md)),1)),""))</f>
        <v>4826</v>
      </c>
      <c r="AH39" s="32" cm="1">
        <f t="array" ref="AH39">IF(AF39="","",IFERROR(_xlfn.LET(_xlpm.x,INDEX([1]CDP!$B$2:$B$322,MATCH(AF39&amp;"",[1]CDP!$A$2:$A$322&amp;"",0)),IF(ISNUMBER(_xlpm.x),_xlpm.x,DATE(--LEFT(_xlpm.x,4),--MID(_xlpm.x,6,2),--MID(_xlpm.x,9,2)))),""))</f>
        <v>46030</v>
      </c>
    </row>
    <row r="40" spans="1:34" ht="61.5" customHeight="1" x14ac:dyDescent="0.35">
      <c r="A40" s="1" t="str">
        <f>[1]Contratos!A40</f>
        <v>CONTRATO 39 DE 2026</v>
      </c>
      <c r="B40" s="10" t="str">
        <f>[1]Contratos!B40</f>
        <v>COMPENSAR</v>
      </c>
      <c r="C40" s="10" t="str">
        <f>[1]Contratos!E40</f>
        <v>Prestación de servicios profesionales o Apoyo a la gestión</v>
      </c>
      <c r="D40" s="10" t="s">
        <v>91</v>
      </c>
      <c r="E40" s="11" t="str">
        <f>[1]Contratos!F40</f>
        <v xml:space="preserve">Prestación de servicios de apoyo a la gestión en el desarrollo de acciones para el fortalecimiento de la gestión estratégica del talento humano en la CRC, encaminadas a la ejecución de actividades relacionadas con el cumplimiento de los planes y programas correspondientes a las políticas de la dimensión de talento humano del modelo integrado de planeación y gestión - MIPG en la comisión de regulación de comunicaciones (bienestar social, capacitación, SST, actividades culturales, deportivas, recreativas y formativas, entre otros). </v>
      </c>
      <c r="F40" s="12">
        <v>420343000</v>
      </c>
      <c r="G40" s="13">
        <f>[1]Contratos!G40</f>
        <v>420343000</v>
      </c>
      <c r="H40" s="14" t="str">
        <f>IFERROR(VLOOKUP(A40, [1]Otrosí!A:F, 6, FALSE), "0")</f>
        <v>0</v>
      </c>
      <c r="I40" s="13">
        <f t="shared" si="0"/>
        <v>420343000</v>
      </c>
      <c r="J40" s="15">
        <f>IFERROR(_xlfn.LET(_xlpm.x,_xlfn.LET(_xlpm.n,--_xlfn.TEXTBEFORE(_xlfn.TEXTAFTER(A40,"CONTRATO ")," DE"),_xlpm.c,"CONTRATO "&amp;TEXT(_xlpm.n,"00")&amp;" DE 2026",_xlpm.h,'[1]SECOP II'!$A$1:$CQ$1,_xlpm.d,'[1]SECOP II'!$A$2:$CQ$94,_xlpm.r,INDEX(_xlpm.d,0,MATCH("Referencia del Contrato",_xlpm.h,0)),INDEX(_xlpm.d,MATCH(_xlpm.c,_xlpm.r,0),MATCH("Valor Pagado",_xlpm.h,0))),_xlfn.NUMBERVALUE(SUBSTITUTE(_xlpm.x,"$",""),".",",")),"")</f>
        <v>170661275</v>
      </c>
      <c r="K40" s="16">
        <f t="shared" si="1"/>
        <v>249681725</v>
      </c>
      <c r="L40" s="17">
        <f t="shared" si="2"/>
        <v>0.40600479846220827</v>
      </c>
      <c r="M40" s="18">
        <f>[1]Contratos!O40</f>
        <v>46048</v>
      </c>
      <c r="N40" s="18">
        <f>[1]Contratos!P40</f>
        <v>46052</v>
      </c>
      <c r="O40" s="18">
        <f>[1]Contratos!Q40</f>
        <v>46377</v>
      </c>
      <c r="P40" s="18" t="str">
        <f>IFERROR(VLOOKUP(A40, [1]Otrosí!A:L, 7, FALSE), "N/A")</f>
        <v>N/A</v>
      </c>
      <c r="Q40" s="19" t="str">
        <f>IFERROR(_xlfn.LET(_xlpm.h,'[1]SECOP II'!$A$1:$CQ$1,_xlpm.d,'[1]SECOP II'!$A$2:$CQ$94,_xlpm.r,INDEX(_xlpm.d,0,MATCH("Referencia del Contrato",_xlpm.h,0)),INDEX(_xlpm.d,MATCH("CONTRATO 39 DE 2026",_xlpm.r,0),MATCH("Tipo de Contrato",_xlpm.h,0))),"")</f>
        <v>Prestación de servicios</v>
      </c>
      <c r="R40" s="20" t="str">
        <f>IFERROR(_xlfn.LET(_xlpm.n,--_xlfn.TEXTBEFORE(_xlfn.TEXTAFTER(A40,"CONTRATO ")," DE"),_xlpm.c,"CONTRATO "&amp;TEXT(_xlpm.n,"00")&amp;" DE 2026",_xlpm.h,'[1]SECOP II'!$A$1:$CQ$1,_xlpm.d,'[1]SECOP II'!$A$2:$CQ$94,_xlpm.r,INDEX(_xlpm.d,0,MATCH("Referencia del Contrato",_xlpm.h,0)),INDEX(_xlpm.d,MATCH(_xlpm.c,_xlpm.r,0),MATCH("Destino Gasto",_xlpm.h,0))),"")</f>
        <v>Inversión</v>
      </c>
      <c r="S40" s="21" t="str">
        <f>IFERROR(_xlfn.LET(_xlpm.n,--_xlfn.TEXTBEFORE(_xlfn.TEXTAFTER(A40,"CONTRATO ")," DE"),_xlpm.c,"CONTRATO "&amp;TEXT(_xlpm.n,"00")&amp;" DE 2026",_xlpm.h,'[1]SECOP II'!$A$1:$CQ$1,_xlpm.d,'[1]SECOP II'!$A$2:$CQ$94,_xlpm.r,INDEX(_xlpm.d,0,MATCH("Referencia del Contrato",_xlpm.h,0)),INDEX(_xlpm.d,MATCH(_xlpm.c,_xlpm.r,0),MATCH("URLProceso",_xlpm.h,0))),"")</f>
        <v>https://community.secop.gov.co/Public/Tendering/OpportunityDetail/Index?noticeUID=CO1.NTC.9538027&amp;isFromPublicArea=True&amp;isModal=true&amp;asPopupView=true</v>
      </c>
      <c r="T40" s="22" t="str">
        <f>IFERROR(_xlfn.LET(_xlpm.h,'[1]SECOP II'!$A$1:$CQ$1,_xlpm.d,'[1]SECOP II'!$A$2:$CQ$94,_xlpm.r,INDEX(_xlpm.d,0,MATCH("Referencia del Contrato",_xlpm.h,0)),INDEX(_xlpm.d,MATCH("CONTRATO 39 DE 2026",_xlpm.r,0),MATCH("Estado Contrato",_xlpm.h,0))),"")</f>
        <v>En ejecución</v>
      </c>
      <c r="U40" s="10" t="str">
        <f>[1]Contratos!C40</f>
        <v>PJ</v>
      </c>
      <c r="V40" s="10" t="str">
        <f>[1]Contratos!I40</f>
        <v>GESTIÓN ADM. Y FIN</v>
      </c>
      <c r="W40" s="23" t="str">
        <f>[1]Contratos!J40</f>
        <v>DIANA WILCHES</v>
      </c>
      <c r="X40" s="24" cm="1">
        <f t="array" ref="X40">IFERROR(VLOOKUP(W40,[1]COORD!$A$27:$B$67, 2, FALSE),[1]COORD!$B$27:$B$67)</f>
        <v>40049758</v>
      </c>
      <c r="Y40" s="25" t="s">
        <v>57</v>
      </c>
      <c r="Z40" s="26">
        <v>860066942</v>
      </c>
      <c r="AA40" s="27" cm="1">
        <f t="array" ref="AA40">IF(Y40&lt;&gt;"NIT","N/A",IF(OR(Z40="",Z40="N/A"),"N/A",IF(ISERROR(VALUE(IF(ISNUMBER(FIND("-",TEXT(Z40,"@"))),LEFT(TEXT(Z40,"@"),FIND("-",TEXT(Z40,"@"))-1),TEXT(Z40,"@")))),"N/A",IF(MOD(SUMPRODUCT(VALUE(MID(TEXT(VALUE(IF(ISNUMBER(FIND("-",TEXT(Z40,"@"))),LEFT(TEXT(Z40,"@"),FIND("-",TEXT(Z40,"@"))-1),TEXT(Z40,"@"))),"000000000000000"),{15,14,13,12,11,10,9,8,7,6,5,4,3,2,1},1)),{3,7,13,17,19,23,29,37,41,43,47,53,59,67,71}),11)=0,0,IF(MOD(SUMPRODUCT(VALUE(MID(TEXT(VALUE(IF(ISNUMBER(FIND("-",TEXT(Z40,"@"))),LEFT(TEXT(Z40,"@"),FIND("-",TEXT(Z40,"@"))-1),TEXT(Z40,"@"))),"000000000000000"),{15,14,13,12,11,10,9,8,7,6,5,4,3,2,1},1)),{3,7,13,17,19,23,29,37,41,43,47,53,59,67,71}),11)=1,1,11-MOD(SUMPRODUCT(VALUE(MID(TEXT(VALUE(IF(ISNUMBER(FIND("-",TEXT(Z40,"@"))),LEFT(TEXT(Z40,"@"),FIND("-",TEXT(Z40,"@"))-1),TEXT(Z40,"@"))),"000000000000000"),{15,14,13,12,11,10,9,8,7,6,5,4,3,2,1},1)),{3,7,13,17,19,23,29,37,41,43,47,53,59,67,71}),11))))))</f>
        <v>7</v>
      </c>
      <c r="AB40" s="27">
        <v>80101511</v>
      </c>
      <c r="AC40" s="29" t="str">
        <f>[1]Contratos!Z40</f>
        <v>N/A</v>
      </c>
      <c r="AD40" s="30">
        <f t="shared" si="3"/>
        <v>329</v>
      </c>
      <c r="AE40" s="31" t="s">
        <v>37</v>
      </c>
      <c r="AF40" s="31" t="str" cm="1">
        <f t="array" ref="AF40">IF(AG40="","",IFERROR(_xlfn.LET(_xlpm.x,INDEX([1]RP!$Z$2:$Z$706,MATCH(AG40&amp;"",[1]RP!$A$2:$A$706&amp;"",0)),IF(_xlpm.x="","",_xlpm.x)),""))</f>
        <v>1426</v>
      </c>
      <c r="AG40" s="31" cm="1">
        <f t="array" ref="AG40">IF(A40="","",IFERROR(_xlfn.LET(_xlpm.rp,[1]RP!$A$2:$A$706,_xlpm.dt,IFERROR(DATE(--LEFT([1]RP!$B$2:$B$706,4),--MID([1]RP!$B$2:$B$706,6,2),--MID([1]RP!$B$2:$B$706,9,2)),0),_xlpm.qid,UPPER(SUBSTITUTE(SUBSTITUTE(SUBSTITUTE(SUBSTITUTE([1]RP!$Q$2:$Q$706,".",""),"-","")," ",""),"O","0")),_xlpm.eid,UPPER(SUBSTITUTE(SUBSTITUTE(SUBSTITUTE(SUBSTITUTE(Z40,".",""),"-","")," ",""),"O","0")),_xlpm.qnm,UPPER(SUBSTITUTE(SUBSTITUTE(SUBSTITUTE(SUBSTITUTE(SUBSTITUTE([1]RP!$R$2:$R$706,".",""),"-","")," ",""),"Á","A"),"É","E")),_xlpm.enm,UPPER(SUBSTITUTE(SUBSTITUTE(SUBSTITUTE(SUBSTITUTE(SUBSTITUTE(B40,".",""),"-",""),"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40,"CONTRATO ")," DE")&amp;"/2026",_xlpm.dm,--ISNUMBER(SEARCH(_xlpm.num,_xlpm.sup)),_xlpm.dif,IF(_xlpm.ok,(1-_xlpm.dm)*1000000+IF(AND(ISNUMBER(M40),M40&gt;0),ABS(_xlpm.dt-M40),0),1E+99),_xlpm.md,MIN(_xlpm.dif),INDEX(_xlfn._xlws.FILTER(_xlpm.rp,(_xlpm.ok&gt;0)*(_xlpm.dif=_xlpm.md)),1)),""))</f>
        <v>7926</v>
      </c>
      <c r="AH40" s="32" cm="1">
        <f t="array" ref="AH40">IF(AF40="","",IFERROR(_xlfn.LET(_xlpm.x,INDEX([1]CDP!$B$2:$B$322,MATCH(AF40&amp;"",[1]CDP!$A$2:$A$322&amp;"",0)),IF(ISNUMBER(_xlpm.x),_xlpm.x,DATE(--LEFT(_xlpm.x,4),--MID(_xlpm.x,6,2),--MID(_xlpm.x,9,2)))),""))</f>
        <v>46029</v>
      </c>
    </row>
    <row r="41" spans="1:34" ht="61.5" customHeight="1" x14ac:dyDescent="0.35">
      <c r="A41" s="1" t="str">
        <f>[1]Contratos!A41</f>
        <v>CONTRATO 40 DE 2026</v>
      </c>
      <c r="B41" s="10" t="str">
        <f>[1]Contratos!B41</f>
        <v xml:space="preserve">KANTAR IBOPE MEDIA </v>
      </c>
      <c r="C41" s="10" t="str">
        <f>[1]Contratos!E41</f>
        <v>Contratación directa</v>
      </c>
      <c r="D41" s="10" t="s">
        <v>92</v>
      </c>
      <c r="E41" s="11" t="str">
        <f>[1]Contratos!F41</f>
        <v xml:space="preserve">Adquirir la información exclusiva de Kantar Ibope Media Colombia S.A.S. de medición de audiencias con la tecnología People Meters para los servicios de televisión abierta, que posibilite realizar una medición de audiencias respecto del consumo de televisión y de información de pauta publicitaria de bebidas alcohólicas, para los meses de enero a noviembre de 2026.
</v>
      </c>
      <c r="F41" s="12">
        <v>157080000</v>
      </c>
      <c r="G41" s="13">
        <f>[1]Contratos!G41</f>
        <v>157080000</v>
      </c>
      <c r="H41" s="14" t="str">
        <f>IFERROR(VLOOKUP(A41, [1]Otrosí!A:F, 6, FALSE), "0")</f>
        <v xml:space="preserve">N/A  </v>
      </c>
      <c r="I41" s="13">
        <f t="shared" si="0"/>
        <v>157080000</v>
      </c>
      <c r="J41" s="15">
        <f>IFERROR(_xlfn.LET(_xlpm.x,_xlfn.LET(_xlpm.n,--_xlfn.TEXTBEFORE(_xlfn.TEXTAFTER(A41,"CONTRATO ")," DE"),_xlpm.c,"CONTRATO "&amp;TEXT(_xlpm.n,"00")&amp;" DE 2026",_xlpm.h,'[1]SECOP II'!$A$1:$CQ$1,_xlpm.d,'[1]SECOP II'!$A$2:$CQ$94,_xlpm.r,INDEX(_xlpm.d,0,MATCH("Referencia del Contrato",_xlpm.h,0)),INDEX(_xlpm.d,MATCH(_xlpm.c,_xlpm.r,0),MATCH("Valor Pagado",_xlpm.h,0))),_xlfn.NUMBERVALUE(SUBSTITUTE(_xlpm.x,"$",""),".",",")),"")</f>
        <v>85680000</v>
      </c>
      <c r="K41" s="16">
        <f t="shared" si="1"/>
        <v>71400000</v>
      </c>
      <c r="L41" s="17">
        <f t="shared" si="2"/>
        <v>0.54545454545454541</v>
      </c>
      <c r="M41" s="18">
        <f>[1]Contratos!O41</f>
        <v>46043</v>
      </c>
      <c r="N41" s="18">
        <f>[1]Contratos!P41</f>
        <v>46049</v>
      </c>
      <c r="O41" s="18">
        <f>[1]Contratos!Q41</f>
        <v>46387</v>
      </c>
      <c r="P41" s="18" t="str">
        <f>IFERROR(VLOOKUP(A41, [1]Otrosí!A:L, 7, FALSE), "N/A")</f>
        <v xml:space="preserve">N/A  </v>
      </c>
      <c r="Q41" s="19" t="str">
        <f>IFERROR(_xlfn.LET(_xlpm.h,'[1]SECOP II'!$A$1:$CQ$1,_xlpm.d,'[1]SECOP II'!$A$2:$CQ$94,_xlpm.r,INDEX(_xlpm.d,0,MATCH("Referencia del Contrato",_xlpm.h,0)),INDEX(_xlpm.d,MATCH("CONTRATO 40 DE 2026",_xlpm.r,0),MATCH("Tipo de Contrato",_xlpm.h,0))),"")</f>
        <v>Prestación de servicios</v>
      </c>
      <c r="R41" s="20" t="str">
        <f>IFERROR(_xlfn.LET(_xlpm.n,--_xlfn.TEXTBEFORE(_xlfn.TEXTAFTER(A41,"CONTRATO ")," DE"),_xlpm.c,"CONTRATO "&amp;TEXT(_xlpm.n,"00")&amp;" DE 2026",_xlpm.h,'[1]SECOP II'!$A$1:$CQ$1,_xlpm.d,'[1]SECOP II'!$A$2:$CQ$94,_xlpm.r,INDEX(_xlpm.d,0,MATCH("Referencia del Contrato",_xlpm.h,0)),INDEX(_xlpm.d,MATCH(_xlpm.c,_xlpm.r,0),MATCH("Destino Gasto",_xlpm.h,0))),"")</f>
        <v>Inversión</v>
      </c>
      <c r="S41" s="21" t="str">
        <f>IFERROR(_xlfn.LET(_xlpm.n,--_xlfn.TEXTBEFORE(_xlfn.TEXTAFTER(A41,"CONTRATO ")," DE"),_xlpm.c,"CONTRATO "&amp;TEXT(_xlpm.n,"00")&amp;" DE 2026",_xlpm.h,'[1]SECOP II'!$A$1:$CQ$1,_xlpm.d,'[1]SECOP II'!$A$2:$CQ$94,_xlpm.r,INDEX(_xlpm.d,0,MATCH("Referencia del Contrato",_xlpm.h,0)),INDEX(_xlpm.d,MATCH(_xlpm.c,_xlpm.r,0),MATCH("URLProceso",_xlpm.h,0))),"")</f>
        <v>https://community.secop.gov.co/Public/Tendering/OpportunityDetail/Index?noticeUID=CO1.NTC.9607474&amp;isFromPublicArea=True&amp;isModal=true&amp;asPopupView=true</v>
      </c>
      <c r="T41" s="22" t="str">
        <f>IFERROR(_xlfn.LET(_xlpm.h,'[1]SECOP II'!$A$1:$CQ$1,_xlpm.d,'[1]SECOP II'!$A$2:$CQ$94,_xlpm.r,INDEX(_xlpm.d,0,MATCH("Referencia del Contrato",_xlpm.h,0)),INDEX(_xlpm.d,MATCH("CONTRATO 40 DE 2026",_xlpm.r,0),MATCH("Estado Contrato",_xlpm.h,0))),"")</f>
        <v>En ejecución</v>
      </c>
      <c r="U41" s="10" t="str">
        <f>[1]Contratos!C41</f>
        <v>PJ</v>
      </c>
      <c r="V41" s="10" t="str">
        <f>[1]Contratos!I41</f>
        <v>ANALÍTICA DE DATOS</v>
      </c>
      <c r="W41" s="23" t="str">
        <f>[1]Contratos!J41</f>
        <v>MIGUEL DURÁN</v>
      </c>
      <c r="X41" s="24" cm="1">
        <f t="array" ref="X41">IFERROR(VLOOKUP(W41,[1]COORD!$A$27:$B$67, 2, FALSE),[1]COORD!$B$27:$B$67)</f>
        <v>92541020</v>
      </c>
      <c r="Y41" s="25" t="s">
        <v>57</v>
      </c>
      <c r="Z41" s="26">
        <v>800174162</v>
      </c>
      <c r="AA41" s="27" cm="1">
        <f t="array" ref="AA41">IF(Y41&lt;&gt;"NIT","N/A",IF(OR(Z41="",Z41="N/A"),"N/A",IF(ISERROR(VALUE(IF(ISNUMBER(FIND("-",TEXT(Z41,"@"))),LEFT(TEXT(Z41,"@"),FIND("-",TEXT(Z41,"@"))-1),TEXT(Z41,"@")))),"N/A",IF(MOD(SUMPRODUCT(VALUE(MID(TEXT(VALUE(IF(ISNUMBER(FIND("-",TEXT(Z41,"@"))),LEFT(TEXT(Z41,"@"),FIND("-",TEXT(Z41,"@"))-1),TEXT(Z41,"@"))),"000000000000000"),{15,14,13,12,11,10,9,8,7,6,5,4,3,2,1},1)),{3,7,13,17,19,23,29,37,41,43,47,53,59,67,71}),11)=0,0,IF(MOD(SUMPRODUCT(VALUE(MID(TEXT(VALUE(IF(ISNUMBER(FIND("-",TEXT(Z41,"@"))),LEFT(TEXT(Z41,"@"),FIND("-",TEXT(Z41,"@"))-1),TEXT(Z41,"@"))),"000000000000000"),{15,14,13,12,11,10,9,8,7,6,5,4,3,2,1},1)),{3,7,13,17,19,23,29,37,41,43,47,53,59,67,71}),11)=1,1,11-MOD(SUMPRODUCT(VALUE(MID(TEXT(VALUE(IF(ISNUMBER(FIND("-",TEXT(Z41,"@"))),LEFT(TEXT(Z41,"@"),FIND("-",TEXT(Z41,"@"))-1),TEXT(Z41,"@"))),"000000000000000"),{15,14,13,12,11,10,9,8,7,6,5,4,3,2,1},1)),{3,7,13,17,19,23,29,37,41,43,47,53,59,67,71}),11))))))</f>
        <v>3</v>
      </c>
      <c r="AB41" s="27">
        <v>81131504</v>
      </c>
      <c r="AC41" s="29" t="str">
        <f>[1]Contratos!Z41</f>
        <v>N/A</v>
      </c>
      <c r="AD41" s="30">
        <f t="shared" si="3"/>
        <v>344</v>
      </c>
      <c r="AE41" s="31" t="s">
        <v>37</v>
      </c>
      <c r="AF41" s="31" t="str" cm="1">
        <f t="array" ref="AF41">IF(AG41="","",IFERROR(_xlfn.LET(_xlpm.x,INDEX([1]RP!$Z$2:$Z$706,MATCH(AG41&amp;"",[1]RP!$A$2:$A$706&amp;"",0)),IF(_xlpm.x="","",_xlpm.x)),""))</f>
        <v>5426</v>
      </c>
      <c r="AG41" s="31" cm="1">
        <f t="array" ref="AG41">IF(A41="","",IFERROR(_xlfn.LET(_xlpm.rp,[1]RP!$A$2:$A$706,_xlpm.dt,IFERROR(DATE(--LEFT([1]RP!$B$2:$B$706,4),--MID([1]RP!$B$2:$B$706,6,2),--MID([1]RP!$B$2:$B$706,9,2)),0),_xlpm.qid,UPPER(SUBSTITUTE(SUBSTITUTE(SUBSTITUTE(SUBSTITUTE([1]RP!$Q$2:$Q$706,".",""),"-","")," ",""),"O","0")),_xlpm.eid,UPPER(SUBSTITUTE(SUBSTITUTE(SUBSTITUTE(SUBSTITUTE(Z41,".",""),"-","")," ",""),"O","0")),_xlpm.qnm,UPPER(SUBSTITUTE(SUBSTITUTE(SUBSTITUTE(SUBSTITUTE(SUBSTITUTE([1]RP!$R$2:$R$706,".",""),"-","")," ",""),"Á","A"),"É","E")),_xlpm.enm,UPPER(SUBSTITUTE(SUBSTITUTE(SUBSTITUTE(SUBSTITUTE(SUBSTITUTE(B41,".",""),"-",""),"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41,"CONTRATO ")," DE")&amp;"/2026",_xlpm.dm,--ISNUMBER(SEARCH(_xlpm.num,_xlpm.sup)),_xlpm.dif,IF(_xlpm.ok,(1-_xlpm.dm)*1000000+IF(AND(ISNUMBER(M41),M41&gt;0),ABS(_xlpm.dt-M41),0),1E+99),_xlpm.md,MIN(_xlpm.dif),INDEX(_xlfn._xlws.FILTER(_xlpm.rp,(_xlpm.ok&gt;0)*(_xlpm.dif=_xlpm.md)),1)),""))</f>
        <v>7526</v>
      </c>
      <c r="AH41" s="32" cm="1">
        <f t="array" ref="AH41">IF(AF41="","",IFERROR(_xlfn.LET(_xlpm.x,INDEX([1]CDP!$B$2:$B$322,MATCH(AF41&amp;"",[1]CDP!$A$2:$A$322&amp;"",0)),IF(ISNUMBER(_xlpm.x),_xlpm.x,DATE(--LEFT(_xlpm.x,4),--MID(_xlpm.x,6,2),--MID(_xlpm.x,9,2)))),""))</f>
        <v>46030</v>
      </c>
    </row>
    <row r="42" spans="1:34" ht="61.5" customHeight="1" x14ac:dyDescent="0.35">
      <c r="A42" s="1" t="str">
        <f>[1]Contratos!A42</f>
        <v>CONTRATO 41 DE 2026</v>
      </c>
      <c r="B42" s="10" t="s">
        <v>93</v>
      </c>
      <c r="C42" s="10" t="str">
        <f>[1]Contratos!E42</f>
        <v>Prestación de servicios profesionales o Apoyo a la gestión</v>
      </c>
      <c r="D42" s="10" t="s">
        <v>94</v>
      </c>
      <c r="E42" s="11" t="str">
        <f>[1]Contratos!F42</f>
        <v>Prestación de servicios profesionales altamente especializados para el análisis regulatorio y económico de mercados de telecomunicaciones y ecosistemas digitales, con énfasis en neutralidad de red, conectividad mayorista, esquemas de remuneración móvil, servicios OTT y nuevas tecnologías de acceso de última milla, para apoyar la estructuración y desarrollo de los proyectos y estudios de las coordinaciones de Diseño Regulatorio y Prospectiva Estratégica e Innovación, conforme a lo previsto en el plan de acción de la CRC en la vigencia y la Agenda Regulatoria 2026-2027.</v>
      </c>
      <c r="F42" s="12">
        <v>146729314</v>
      </c>
      <c r="G42" s="13">
        <f>[1]Contratos!G42</f>
        <v>146729314</v>
      </c>
      <c r="H42" s="14" t="str">
        <f>IFERROR(VLOOKUP(A42, [1]Otrosí!A:F, 6, FALSE), "0")</f>
        <v>0</v>
      </c>
      <c r="I42" s="13">
        <f t="shared" si="0"/>
        <v>146729314</v>
      </c>
      <c r="J42" s="15">
        <f>IFERROR(_xlfn.LET(_xlpm.x,_xlfn.LET(_xlpm.n,--_xlfn.TEXTBEFORE(_xlfn.TEXTAFTER(A42,"CONTRATO ")," DE"),_xlpm.c,"CONTRATO "&amp;TEXT(_xlpm.n,"00")&amp;" DE 2026",_xlpm.h,'[1]SECOP II'!$A$1:$CQ$1,_xlpm.d,'[1]SECOP II'!$A$2:$CQ$94,_xlpm.r,INDEX(_xlpm.d,0,MATCH("Referencia del Contrato",_xlpm.h,0)),INDEX(_xlpm.d,MATCH(_xlpm.c,_xlpm.r,0),MATCH("Valor Pagado",_xlpm.h,0))),_xlfn.NUMBERVALUE(SUBSTITUTE(_xlpm.x,"$",""),".",",")),"")</f>
        <v>122731529</v>
      </c>
      <c r="K42" s="16">
        <f t="shared" si="1"/>
        <v>23997785</v>
      </c>
      <c r="L42" s="17">
        <f t="shared" si="2"/>
        <v>0.83644859813084116</v>
      </c>
      <c r="M42" s="18">
        <f>[1]Contratos!O42</f>
        <v>46045</v>
      </c>
      <c r="N42" s="18">
        <f>[1]Contratos!P42</f>
        <v>46045</v>
      </c>
      <c r="O42" s="18">
        <f>[1]Contratos!Q42</f>
        <v>46387</v>
      </c>
      <c r="P42" s="18" t="str">
        <f>IFERROR(VLOOKUP(A42, [1]Otrosí!A:L, 7, FALSE), "N/A")</f>
        <v>N/A</v>
      </c>
      <c r="Q42" s="19" t="str">
        <f>IFERROR(_xlfn.LET(_xlpm.h,'[1]SECOP II'!$A$1:$CQ$1,_xlpm.d,'[1]SECOP II'!$A$2:$CQ$94,_xlpm.r,INDEX(_xlpm.d,0,MATCH("Referencia del Contrato",_xlpm.h,0)),INDEX(_xlpm.d,MATCH("CONTRATO 41 DE 2026",_xlpm.r,0),MATCH("Tipo de Contrato",_xlpm.h,0))),"")</f>
        <v>Prestación de servicios</v>
      </c>
      <c r="R42" s="20" t="str">
        <f>IFERROR(_xlfn.LET(_xlpm.n,--_xlfn.TEXTBEFORE(_xlfn.TEXTAFTER(A42,"CONTRATO ")," DE"),_xlpm.c,"CONTRATO "&amp;TEXT(_xlpm.n,"00")&amp;" DE 2026",_xlpm.h,'[1]SECOP II'!$A$1:$CQ$1,_xlpm.d,'[1]SECOP II'!$A$2:$CQ$94,_xlpm.r,INDEX(_xlpm.d,0,MATCH("Referencia del Contrato",_xlpm.h,0)),INDEX(_xlpm.d,MATCH(_xlpm.c,_xlpm.r,0),MATCH("Destino Gasto",_xlpm.h,0))),"")</f>
        <v>Inversión</v>
      </c>
      <c r="S42" s="21" t="str">
        <f>IFERROR(_xlfn.LET(_xlpm.n,--_xlfn.TEXTBEFORE(_xlfn.TEXTAFTER(A42,"CONTRATO ")," DE"),_xlpm.c,"CONTRATO "&amp;TEXT(_xlpm.n,"00")&amp;" DE 2026",_xlpm.h,'[1]SECOP II'!$A$1:$CQ$1,_xlpm.d,'[1]SECOP II'!$A$2:$CQ$94,_xlpm.r,INDEX(_xlpm.d,0,MATCH("Referencia del Contrato",_xlpm.h,0)),INDEX(_xlpm.d,MATCH(_xlpm.c,_xlpm.r,0),MATCH("URLProceso",_xlpm.h,0))),"")</f>
        <v>https://community.secop.gov.co/Public/Tendering/OpportunityDetail/Index?noticeUID=CO1.NTC.9527021&amp;isFromPublicArea=True&amp;isModal=true&amp;asPopupView=true</v>
      </c>
      <c r="T42" s="22" t="str">
        <f>IFERROR(_xlfn.LET(_xlpm.h,'[1]SECOP II'!$A$1:$CQ$1,_xlpm.d,'[1]SECOP II'!$A$2:$CQ$94,_xlpm.r,INDEX(_xlpm.d,0,MATCH("Referencia del Contrato",_xlpm.h,0)),INDEX(_xlpm.d,MATCH("CONTRATO 41 DE 2026",_xlpm.r,0),MATCH("Estado Contrato",_xlpm.h,0))),"")</f>
        <v>En ejecución</v>
      </c>
      <c r="U42" s="10" t="str">
        <f>[1]Contratos!C42</f>
        <v>PN</v>
      </c>
      <c r="V42" s="10" t="str">
        <f>[1]Contratos!I42</f>
        <v>DISEÑO REGULATORIO</v>
      </c>
      <c r="W42" s="23" t="str">
        <f>[1]Contratos!J42</f>
        <v>ALEJANDRA ARENAS</v>
      </c>
      <c r="X42" s="24" cm="1">
        <f t="array" ref="X42">IFERROR(VLOOKUP(W42,[1]COORD!$A$27:$B$67, 2, FALSE),[1]COORD!$B$27:$B$67)</f>
        <v>1020749984</v>
      </c>
      <c r="Y42" s="25" t="s">
        <v>35</v>
      </c>
      <c r="Z42" s="26">
        <v>79949417</v>
      </c>
      <c r="AA42" s="27" t="str" cm="1">
        <f t="array" ref="AA42">IF(Y42&lt;&gt;"NIT","N/A",IF(OR(Z42="",Z42="N/A"),"N/A",IF(ISERROR(VALUE(IF(ISNUMBER(FIND("-",TEXT(Z42,"@"))),LEFT(TEXT(Z42,"@"),FIND("-",TEXT(Z42,"@"))-1),TEXT(Z42,"@")))),"N/A",IF(MOD(SUMPRODUCT(VALUE(MID(TEXT(VALUE(IF(ISNUMBER(FIND("-",TEXT(Z42,"@"))),LEFT(TEXT(Z42,"@"),FIND("-",TEXT(Z42,"@"))-1),TEXT(Z42,"@"))),"000000000000000"),{15,14,13,12,11,10,9,8,7,6,5,4,3,2,1},1)),{3,7,13,17,19,23,29,37,41,43,47,53,59,67,71}),11)=0,0,IF(MOD(SUMPRODUCT(VALUE(MID(TEXT(VALUE(IF(ISNUMBER(FIND("-",TEXT(Z42,"@"))),LEFT(TEXT(Z42,"@"),FIND("-",TEXT(Z42,"@"))-1),TEXT(Z42,"@"))),"000000000000000"),{15,14,13,12,11,10,9,8,7,6,5,4,3,2,1},1)),{3,7,13,17,19,23,29,37,41,43,47,53,59,67,71}),11)=1,1,11-MOD(SUMPRODUCT(VALUE(MID(TEXT(VALUE(IF(ISNUMBER(FIND("-",TEXT(Z42,"@"))),LEFT(TEXT(Z42,"@"),FIND("-",TEXT(Z42,"@"))-1),TEXT(Z42,"@"))),"000000000000000"),{15,14,13,12,11,10,9,8,7,6,5,4,3,2,1},1)),{3,7,13,17,19,23,29,37,41,43,47,53,59,67,71}),11))))))</f>
        <v>N/A</v>
      </c>
      <c r="AB42" s="27">
        <v>81121500</v>
      </c>
      <c r="AC42" s="29" t="str">
        <f>[1]Contratos!Z42</f>
        <v>NO</v>
      </c>
      <c r="AD42" s="30">
        <f t="shared" si="3"/>
        <v>342</v>
      </c>
      <c r="AE42" s="31" t="s">
        <v>37</v>
      </c>
      <c r="AF42" s="31" t="str" cm="1">
        <f t="array" ref="AF42">IF(AG42="","",IFERROR(_xlfn.LET(_xlpm.x,INDEX([1]RP!$Z$2:$Z$706,MATCH(AG42&amp;"",[1]RP!$A$2:$A$706&amp;"",0)),IF(_xlpm.x="","",_xlpm.x)),""))</f>
        <v>5026</v>
      </c>
      <c r="AG42" s="31" cm="1">
        <f t="array" ref="AG42">IF(A42="","",IFERROR(_xlfn.LET(_xlpm.rp,[1]RP!$A$2:$A$706,_xlpm.dt,IFERROR(DATE(--LEFT([1]RP!$B$2:$B$706,4),--MID([1]RP!$B$2:$B$706,6,2),--MID([1]RP!$B$2:$B$706,9,2)),0),_xlpm.qid,UPPER(SUBSTITUTE(SUBSTITUTE(SUBSTITUTE(SUBSTITUTE([1]RP!$Q$2:$Q$706,".",""),"-","")," ",""),"O","0")),_xlpm.eid,UPPER(SUBSTITUTE(SUBSTITUTE(SUBSTITUTE(SUBSTITUTE(Z42,".",""),"-","")," ",""),"O","0")),_xlpm.qnm,UPPER(SUBSTITUTE(SUBSTITUTE(SUBSTITUTE(SUBSTITUTE(SUBSTITUTE([1]RP!$R$2:$R$706,".",""),"-","")," ",""),"Á","A"),"É","E")),_xlpm.enm,UPPER(SUBSTITUTE(SUBSTITUTE(SUBSTITUTE(SUBSTITUTE(SUBSTITUTE(B42,".",""),"-",""),"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42,"CONTRATO ")," DE")&amp;"/2026",_xlpm.dm,--ISNUMBER(SEARCH(_xlpm.num,_xlpm.sup)),_xlpm.dif,IF(_xlpm.ok,(1-_xlpm.dm)*1000000+IF(AND(ISNUMBER(M42),M42&gt;0),ABS(_xlpm.dt-M42),0),1E+99),_xlpm.md,MIN(_xlpm.dif),INDEX(_xlfn._xlws.FILTER(_xlpm.rp,(_xlpm.ok&gt;0)*(_xlpm.dif=_xlpm.md)),1)),""))</f>
        <v>5126</v>
      </c>
      <c r="AH42" s="32" cm="1">
        <f t="array" ref="AH42">IF(AF42="","",IFERROR(_xlfn.LET(_xlpm.x,INDEX([1]CDP!$B$2:$B$322,MATCH(AF42&amp;"",[1]CDP!$A$2:$A$322&amp;"",0)),IF(ISNUMBER(_xlpm.x),_xlpm.x,DATE(--LEFT(_xlpm.x,4),--MID(_xlpm.x,6,2),--MID(_xlpm.x,9,2)))),""))</f>
        <v>46030</v>
      </c>
    </row>
    <row r="43" spans="1:34" ht="61.5" customHeight="1" x14ac:dyDescent="0.35">
      <c r="A43" s="1" t="str">
        <f>[1]Contratos!A43</f>
        <v>CONTRATO 42 DE 2026</v>
      </c>
      <c r="B43" s="10" t="str">
        <f>[1]Contratos!B43</f>
        <v>LUISA TÉLLEZ</v>
      </c>
      <c r="C43" s="10" t="str">
        <f>[1]Contratos!E43</f>
        <v>Prestación de servicios profesionales o Apoyo a la gestión</v>
      </c>
      <c r="D43" s="10" t="s">
        <v>95</v>
      </c>
      <c r="E43" s="11" t="str">
        <f>[1]Contratos!F43</f>
        <v xml:space="preserve">Prestar servicios profesionales para apoyar las estrategias de pedagogía regulatoria y de alfabetización mediática 2026 de la CRC, mediante la conceptualización, producción y entrega de piezas y contenidos gráficos y audiovisuales con fines educativos y de difusión, garantizando calidad técnica, coherencia con la identidad visual, accesibilidad y comunicación inclusiva, utilizando sus propios equipos y actuando con autonomía profesional. </v>
      </c>
      <c r="F43" s="12">
        <v>70575500</v>
      </c>
      <c r="G43" s="13">
        <f>[1]Contratos!G43</f>
        <v>70575500</v>
      </c>
      <c r="H43" s="14" t="str">
        <f>IFERROR(VLOOKUP(A43, [1]Otrosí!A:F, 6, FALSE), "0")</f>
        <v>0</v>
      </c>
      <c r="I43" s="13">
        <f t="shared" si="0"/>
        <v>70575500</v>
      </c>
      <c r="J43" s="15">
        <f>IFERROR(_xlfn.LET(_xlpm.x,_xlfn.LET(_xlpm.n,--_xlfn.TEXTBEFORE(_xlfn.TEXTAFTER(A43,"CONTRATO ")," DE"),_xlpm.c,"CONTRATO "&amp;TEXT(_xlpm.n,"00")&amp;" DE 2026",_xlpm.h,'[1]SECOP II'!$A$1:$CQ$1,_xlpm.d,'[1]SECOP II'!$A$2:$CQ$94,_xlpm.r,INDEX(_xlpm.d,0,MATCH("Referencia del Contrato",_xlpm.h,0)),INDEX(_xlpm.d,MATCH(_xlpm.c,_xlpm.r,0),MATCH("Valor Pagado",_xlpm.h,0))),_xlfn.NUMBERVALUE(SUBSTITUTE(_xlpm.x,"$",""),".",",")),"")</f>
        <v>52164500</v>
      </c>
      <c r="K43" s="16">
        <f t="shared" si="1"/>
        <v>18411000</v>
      </c>
      <c r="L43" s="17">
        <f t="shared" si="2"/>
        <v>0.73913043478260865</v>
      </c>
      <c r="M43" s="18">
        <f>[1]Contratos!O43</f>
        <v>46036</v>
      </c>
      <c r="N43" s="18">
        <f>[1]Contratos!P43</f>
        <v>46038</v>
      </c>
      <c r="O43" s="18">
        <f>[1]Contratos!Q43</f>
        <v>46387</v>
      </c>
      <c r="P43" s="18" t="str">
        <f>IFERROR(VLOOKUP(A43, [1]Otrosí!A:L, 7, FALSE), "N/A")</f>
        <v>N/A</v>
      </c>
      <c r="Q43" s="19" t="str">
        <f>IFERROR(_xlfn.LET(_xlpm.h,'[1]SECOP II'!$A$1:$CQ$1,_xlpm.d,'[1]SECOP II'!$A$2:$CQ$94,_xlpm.r,INDEX(_xlpm.d,0,MATCH("Referencia del Contrato",_xlpm.h,0)),INDEX(_xlpm.d,MATCH("CONTRATO 42 DE 2026",_xlpm.r,0),MATCH("Tipo de Contrato",_xlpm.h,0))),"")</f>
        <v>Prestación de servicios</v>
      </c>
      <c r="R43" s="20" t="str">
        <f>IFERROR(_xlfn.LET(_xlpm.n,--_xlfn.TEXTBEFORE(_xlfn.TEXTAFTER(A43,"CONTRATO ")," DE"),_xlpm.c,"CONTRATO "&amp;TEXT(_xlpm.n,"00")&amp;" DE 2026",_xlpm.h,'[1]SECOP II'!$A$1:$CQ$1,_xlpm.d,'[1]SECOP II'!$A$2:$CQ$94,_xlpm.r,INDEX(_xlpm.d,0,MATCH("Referencia del Contrato",_xlpm.h,0)),INDEX(_xlpm.d,MATCH(_xlpm.c,_xlpm.r,0),MATCH("Destino Gasto",_xlpm.h,0))),"")</f>
        <v>Inversión</v>
      </c>
      <c r="S43" s="21" t="str">
        <f>IFERROR(_xlfn.LET(_xlpm.n,--_xlfn.TEXTBEFORE(_xlfn.TEXTAFTER(A43,"CONTRATO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https://community.secop.gov.co/Public/Tendering/OpportunityDetail/Index?noticeUID=CO1.NTC.9487937&amp;isFromPublicArea=True&amp;isModal=true&amp;asPopupView=true</v>
      </c>
      <c r="T43" s="22" t="str">
        <f>IFERROR(_xlfn.LET(_xlpm.h,'[1]SECOP II'!$A$1:$CQ$1,_xlpm.d,'[1]SECOP II'!$A$2:$CQ$94,_xlpm.r,INDEX(_xlpm.d,0,MATCH("Referencia del Contrato",_xlpm.h,0)),INDEX(_xlpm.d,MATCH("CONTRATO 42 DE 2026",_xlpm.r,0),MATCH("Estado Contrato",_xlpm.h,0))),"")</f>
        <v>En ejecución</v>
      </c>
      <c r="U43" s="10" t="str">
        <f>[1]Contratos!C43</f>
        <v>PN</v>
      </c>
      <c r="V43" s="10" t="str">
        <f>[1]Contratos!I43</f>
        <v>PEDAGOGÍA REGULATORIA</v>
      </c>
      <c r="W43" s="23" t="str">
        <f>[1]Contratos!J43</f>
        <v>RICARDO RAMÍREZ</v>
      </c>
      <c r="X43" s="24" cm="1">
        <f t="array" ref="X43">IFERROR(VLOOKUP(W43,[1]COORD!$A$27:$B$67, 2, FALSE),[1]COORD!$B$27:$B$67)</f>
        <v>79444533</v>
      </c>
      <c r="Y43" s="25" t="s">
        <v>35</v>
      </c>
      <c r="Z43" s="26">
        <v>1019036888</v>
      </c>
      <c r="AA43" s="27" t="str" cm="1">
        <f t="array" ref="AA43">IF(Y43&lt;&gt;"NIT","N/A",IF(OR(Z43="",Z43="N/A"),"N/A",IF(ISERROR(VALUE(IF(ISNUMBER(FIND("-",TEXT(Z43,"@"))),LEFT(TEXT(Z43,"@"),FIND("-",TEXT(Z43,"@"))-1),TEXT(Z43,"@")))),"N/A",IF(MOD(SUMPRODUCT(VALUE(MID(TEXT(VALUE(IF(ISNUMBER(FIND("-",TEXT(Z43,"@"))),LEFT(TEXT(Z43,"@"),FIND("-",TEXT(Z43,"@"))-1),TEXT(Z43,"@"))),"000000000000000"),{15,14,13,12,11,10,9,8,7,6,5,4,3,2,1},1)),{3,7,13,17,19,23,29,37,41,43,47,53,59,67,71}),11)=0,0,IF(MOD(SUMPRODUCT(VALUE(MID(TEXT(VALUE(IF(ISNUMBER(FIND("-",TEXT(Z43,"@"))),LEFT(TEXT(Z43,"@"),FIND("-",TEXT(Z43,"@"))-1),TEXT(Z43,"@"))),"000000000000000"),{15,14,13,12,11,10,9,8,7,6,5,4,3,2,1},1)),{3,7,13,17,19,23,29,37,41,43,47,53,59,67,71}),11)=1,1,11-MOD(SUMPRODUCT(VALUE(MID(TEXT(VALUE(IF(ISNUMBER(FIND("-",TEXT(Z43,"@"))),LEFT(TEXT(Z43,"@"),FIND("-",TEXT(Z43,"@"))-1),TEXT(Z43,"@"))),"000000000000000"),{15,14,13,12,11,10,9,8,7,6,5,4,3,2,1},1)),{3,7,13,17,19,23,29,37,41,43,47,53,59,67,71}),11))))))</f>
        <v>N/A</v>
      </c>
      <c r="AB43" s="27">
        <v>82131602</v>
      </c>
      <c r="AC43" s="29" t="str">
        <f>[1]Contratos!Z43</f>
        <v>NO</v>
      </c>
      <c r="AD43" s="30">
        <f t="shared" si="3"/>
        <v>351</v>
      </c>
      <c r="AE43" s="31" t="s">
        <v>37</v>
      </c>
      <c r="AF43" s="31" t="str" cm="1">
        <f t="array" ref="AF43">IF(AG43="","",IFERROR(_xlfn.LET(_xlpm.x,INDEX([1]RP!$Z$2:$Z$706,MATCH(AG43&amp;"",[1]RP!$A$2:$A$706&amp;"",0)),IF(_xlpm.x="","",_xlpm.x)),""))</f>
        <v>5226</v>
      </c>
      <c r="AG43" s="31" cm="1">
        <f t="array" ref="AG43">IF(A43="","",IFERROR(_xlfn.LET(_xlpm.rp,[1]RP!$A$2:$A$706,_xlpm.dt,IFERROR(DATE(--LEFT([1]RP!$B$2:$B$706,4),--MID([1]RP!$B$2:$B$706,6,2),--MID([1]RP!$B$2:$B$706,9,2)),0),_xlpm.qid,UPPER(SUBSTITUTE(SUBSTITUTE(SUBSTITUTE(SUBSTITUTE([1]RP!$Q$2:$Q$706,".",""),"-","")," ",""),"O","0")),_xlpm.eid,UPPER(SUBSTITUTE(SUBSTITUTE(SUBSTITUTE(SUBSTITUTE(Z43,".",""),"-","")," ",""),"O","0")),_xlpm.qnm,UPPER(SUBSTITUTE(SUBSTITUTE(SUBSTITUTE(SUBSTITUTE(SUBSTITUTE([1]RP!$R$2:$R$706,".",""),"-","")," ",""),"Á","A"),"É","E")),_xlpm.enm,UPPER(SUBSTITUTE(SUBSTITUTE(SUBSTITUTE(SUBSTITUTE(SUBSTITUTE(B43,".",""),"-",""),"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43,"CONTRATO ")," DE")&amp;"/2026",_xlpm.dm,--ISNUMBER(SEARCH(_xlpm.num,_xlpm.sup)),_xlpm.dif,IF(_xlpm.ok,(1-_xlpm.dm)*1000000+IF(AND(ISNUMBER(M43),M43&gt;0),ABS(_xlpm.dt-M43),0),1E+99),_xlpm.md,MIN(_xlpm.dif),INDEX(_xlfn._xlws.FILTER(_xlpm.rp,(_xlpm.ok&gt;0)*(_xlpm.dif=_xlpm.md)),1)),""))</f>
        <v>3826</v>
      </c>
      <c r="AH43" s="32" cm="1">
        <f t="array" ref="AH43">IF(AF43="","",IFERROR(_xlfn.LET(_xlpm.x,INDEX([1]CDP!$B$2:$B$322,MATCH(AF43&amp;"",[1]CDP!$A$2:$A$322&amp;"",0)),IF(ISNUMBER(_xlpm.x),_xlpm.x,DATE(--LEFT(_xlpm.x,4),--MID(_xlpm.x,6,2),--MID(_xlpm.x,9,2)))),""))</f>
        <v>46030</v>
      </c>
    </row>
    <row r="44" spans="1:34" ht="61.5" customHeight="1" x14ac:dyDescent="0.35">
      <c r="A44" s="1" t="str">
        <f>[1]Contratos!A44</f>
        <v>CONTRATO 43 DE 2026</v>
      </c>
      <c r="B44" s="10" t="str">
        <f>[1]Contratos!B44</f>
        <v>DUQUE BOTERO CONSULTORES</v>
      </c>
      <c r="C44" s="10" t="str">
        <f>[1]Contratos!E44</f>
        <v>Prestación de servicios profesionales o Apoyo a la gestión</v>
      </c>
      <c r="D44" s="10" t="s">
        <v>96</v>
      </c>
      <c r="E44" s="11" t="str">
        <f>[1]Contratos!F44</f>
        <v>Prestar servicios profesionales en derecho, con énfasis en derecho administrativo y contratación estatal, para ofrecer apoyo jurídico especializado a la CRC mediante la elaboración de conceptos, análisis normativos y acompañamiento jurídico en los procesos precontractuales, contractuales y postcontractuales que adelante la Entidad. El servicio incluirá la revisión de asuntos jurídicos complejos y la formulación de recomendaciones que contribuyan a la adecuada gestión contractual y regulatoria en el marco del Plan de Acción Institucional y de las actividades que la Entidad programe para la vigencia 2026.</v>
      </c>
      <c r="F44" s="12">
        <v>40232830</v>
      </c>
      <c r="G44" s="13">
        <f>[1]Contratos!G44</f>
        <v>40232830</v>
      </c>
      <c r="H44" s="14" t="str">
        <f>IFERROR(VLOOKUP(A44, [1]Otrosí!A:F, 6, FALSE), "0")</f>
        <v>0</v>
      </c>
      <c r="I44" s="13">
        <f t="shared" si="0"/>
        <v>40232830</v>
      </c>
      <c r="J44" s="15">
        <f>IFERROR(_xlfn.LET(_xlpm.x,_xlfn.LET(_xlpm.n,--_xlfn.TEXTBEFORE(_xlfn.TEXTAFTER(A44,"CONTRATO ")," DE"),_xlpm.c,"CONTRATO "&amp;TEXT(_xlpm.n,"00")&amp;" DE 2026",_xlpm.h,'[1]SECOP II'!$A$1:$CQ$1,_xlpm.d,'[1]SECOP II'!$A$2:$CQ$94,_xlpm.r,INDEX(_xlpm.d,0,MATCH("Referencia del Contrato",_xlpm.h,0)),INDEX(_xlpm.d,MATCH(_xlpm.c,_xlpm.r,0),MATCH("Valor Pagado",_xlpm.h,0))),_xlfn.NUMBERVALUE(SUBSTITUTE(_xlpm.x,"$",""),".",",")),"")</f>
        <v>27342312</v>
      </c>
      <c r="K44" s="16">
        <f t="shared" si="1"/>
        <v>12890518</v>
      </c>
      <c r="L44" s="17">
        <f t="shared" si="2"/>
        <v>0.67960200661996684</v>
      </c>
      <c r="M44" s="18">
        <f>[1]Contratos!O44</f>
        <v>46036</v>
      </c>
      <c r="N44" s="18">
        <f>[1]Contratos!P44</f>
        <v>46037</v>
      </c>
      <c r="O44" s="18">
        <f>[1]Contratos!Q44</f>
        <v>46387</v>
      </c>
      <c r="P44" s="18" t="str">
        <f>IFERROR(VLOOKUP(A44, [1]Otrosí!A:L, 7, FALSE), "N/A")</f>
        <v>N/A</v>
      </c>
      <c r="Q44" s="19" t="str">
        <f>IFERROR(_xlfn.LET(_xlpm.h,'[1]SECOP II'!$A$1:$CQ$1,_xlpm.d,'[1]SECOP II'!$A$2:$CQ$94,_xlpm.r,INDEX(_xlpm.d,0,MATCH("Referencia del Contrato",_xlpm.h,0)),INDEX(_xlpm.d,MATCH("CONTRATO 43 DE 2026",_xlpm.r,0),MATCH("Tipo de Contrato",_xlpm.h,0))),"")</f>
        <v>Prestación de servicios</v>
      </c>
      <c r="R44" s="20" t="str">
        <f>IFERROR(_xlfn.LET(_xlpm.n,--_xlfn.TEXTBEFORE(_xlfn.TEXTAFTER(A44,"CONTRATO ")," DE"),_xlpm.c,"CONTRATO "&amp;TEXT(_xlpm.n,"00")&amp;" DE 2026",_xlpm.h,'[1]SECOP II'!$A$1:$CQ$1,_xlpm.d,'[1]SECOP II'!$A$2:$CQ$94,_xlpm.r,INDEX(_xlpm.d,0,MATCH("Referencia del Contrato",_xlpm.h,0)),INDEX(_xlpm.d,MATCH(_xlpm.c,_xlpm.r,0),MATCH("Destino Gasto",_xlpm.h,0))),"")</f>
        <v>Inversión</v>
      </c>
      <c r="S44" s="34" t="str">
        <f>IFERROR(_xlfn.LET(_xlpm.n,--_xlfn.TEXTBEFORE(_xlfn.TEXTAFTER(A44,"CONTRATO ")," DE"),_xlpm.c,"CONTRATO "&amp;TEXT(_xlpm.n,"00")&amp;" DE 2026",_xlpm.h,'[1]SECOP II'!$A$1:$CQ$1,_xlpm.d,'[1]SECOP II'!$A$2:$CQ$94,_xlpm.r,INDEX(_xlpm.d,0,MATCH("Referencia del Contrato",_xlpm.h,0)),INDEX(_xlpm.d,MATCH(_xlpm.c,_xlpm.r,0),MATCH("URLProceso",_xlpm.h,0))),"")</f>
        <v>https://community.secop.gov.co/Public/Tendering/OpportunityDetail/Index?noticeUID=CO1.NTC.9487338&amp;isFromPublicArea=True&amp;isModal=true&amp;asPopupView=true</v>
      </c>
      <c r="T44" s="22" t="str">
        <f>IFERROR(_xlfn.LET(_xlpm.h,'[1]SECOP II'!$A$1:$CQ$1,_xlpm.d,'[1]SECOP II'!$A$2:$CQ$94,_xlpm.r,INDEX(_xlpm.d,0,MATCH("Referencia del Contrato",_xlpm.h,0)),INDEX(_xlpm.d,MATCH("CONTRATO 43 DE 2026",_xlpm.r,0),MATCH("Estado Contrato",_xlpm.h,0))),"")</f>
        <v>En ejecución</v>
      </c>
      <c r="U44" s="10" t="str">
        <f>[1]Contratos!C44</f>
        <v>PJ</v>
      </c>
      <c r="V44" s="10" t="str">
        <f>[1]Contratos!I44</f>
        <v>COORDINACIÓN EJECUTIVA</v>
      </c>
      <c r="W44" s="23" t="str">
        <f>[1]Contratos!J44</f>
        <v>MARGARITA GIL</v>
      </c>
      <c r="X44" s="24" cm="1">
        <f t="array" ref="X44">IFERROR(VLOOKUP(W44,[1]COORD!$A$27:$B$67, 2, FALSE),[1]COORD!$B$27:$B$67)</f>
        <v>52711453</v>
      </c>
      <c r="Y44" s="25" t="s">
        <v>57</v>
      </c>
      <c r="Z44" s="26">
        <v>901278666</v>
      </c>
      <c r="AA44" s="27" cm="1">
        <f t="array" ref="AA44">IF(Y44&lt;&gt;"NIT","N/A",IF(OR(Z44="",Z44="N/A"),"N/A",IF(ISERROR(VALUE(IF(ISNUMBER(FIND("-",TEXT(Z44,"@"))),LEFT(TEXT(Z44,"@"),FIND("-",TEXT(Z44,"@"))-1),TEXT(Z44,"@")))),"N/A",IF(MOD(SUMPRODUCT(VALUE(MID(TEXT(VALUE(IF(ISNUMBER(FIND("-",TEXT(Z44,"@"))),LEFT(TEXT(Z44,"@"),FIND("-",TEXT(Z44,"@"))-1),TEXT(Z44,"@"))),"000000000000000"),{15,14,13,12,11,10,9,8,7,6,5,4,3,2,1},1)),{3,7,13,17,19,23,29,37,41,43,47,53,59,67,71}),11)=0,0,IF(MOD(SUMPRODUCT(VALUE(MID(TEXT(VALUE(IF(ISNUMBER(FIND("-",TEXT(Z44,"@"))),LEFT(TEXT(Z44,"@"),FIND("-",TEXT(Z44,"@"))-1),TEXT(Z44,"@"))),"000000000000000"),{15,14,13,12,11,10,9,8,7,6,5,4,3,2,1},1)),{3,7,13,17,19,23,29,37,41,43,47,53,59,67,71}),11)=1,1,11-MOD(SUMPRODUCT(VALUE(MID(TEXT(VALUE(IF(ISNUMBER(FIND("-",TEXT(Z44,"@"))),LEFT(TEXT(Z44,"@"),FIND("-",TEXT(Z44,"@"))-1),TEXT(Z44,"@"))),"000000000000000"),{15,14,13,12,11,10,9,8,7,6,5,4,3,2,1},1)),{3,7,13,17,19,23,29,37,41,43,47,53,59,67,71}),11))))))</f>
        <v>7</v>
      </c>
      <c r="AB44" s="27">
        <v>80121704</v>
      </c>
      <c r="AC44" s="29" t="str">
        <f>[1]Contratos!Z44</f>
        <v>N/A</v>
      </c>
      <c r="AD44" s="30">
        <f t="shared" si="3"/>
        <v>351</v>
      </c>
      <c r="AE44" s="31" t="s">
        <v>37</v>
      </c>
      <c r="AF44" s="31" t="str" cm="1">
        <f t="array" ref="AF44">IF(AG44="","",IFERROR(_xlfn.LET(_xlpm.x,INDEX([1]RP!$Z$2:$Z$706,MATCH(AG44&amp;"",[1]RP!$A$2:$A$706&amp;"",0)),IF(_xlpm.x="","",_xlpm.x)),""))</f>
        <v>5526</v>
      </c>
      <c r="AG44" s="31" cm="1">
        <f t="array" ref="AG44">IF(A44="","",IFERROR(_xlfn.LET(_xlpm.rp,[1]RP!$A$2:$A$706,_xlpm.dt,IFERROR(DATE(--LEFT([1]RP!$B$2:$B$706,4),--MID([1]RP!$B$2:$B$706,6,2),--MID([1]RP!$B$2:$B$706,9,2)),0),_xlpm.qid,UPPER(SUBSTITUTE(SUBSTITUTE(SUBSTITUTE(SUBSTITUTE([1]RP!$Q$2:$Q$706,".",""),"-","")," ",""),"O","0")),_xlpm.eid,UPPER(SUBSTITUTE(SUBSTITUTE(SUBSTITUTE(SUBSTITUTE(Z44,".",""),"-","")," ",""),"O","0")),_xlpm.qnm,UPPER(SUBSTITUTE(SUBSTITUTE(SUBSTITUTE(SUBSTITUTE(SUBSTITUTE([1]RP!$R$2:$R$706,".",""),"-","")," ",""),"Á","A"),"É","E")),_xlpm.enm,UPPER(SUBSTITUTE(SUBSTITUTE(SUBSTITUTE(SUBSTITUTE(SUBSTITUTE(B44,".",""),"-",""),"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44,"CONTRATO ")," DE")&amp;"/2026",_xlpm.dm,--ISNUMBER(SEARCH(_xlpm.num,_xlpm.sup)),_xlpm.dif,IF(_xlpm.ok,(1-_xlpm.dm)*1000000+IF(AND(ISNUMBER(M44),M44&gt;0),ABS(_xlpm.dt-M44),0),1E+99),_xlpm.md,MIN(_xlpm.dif),INDEX(_xlfn._xlws.FILTER(_xlpm.rp,(_xlpm.ok&gt;0)*(_xlpm.dif=_xlpm.md)),1)),""))</f>
        <v>1926</v>
      </c>
      <c r="AH44" s="32" cm="1">
        <f t="array" ref="AH44">IF(AF44="","",IFERROR(_xlfn.LET(_xlpm.x,INDEX([1]CDP!$B$2:$B$322,MATCH(AF44&amp;"",[1]CDP!$A$2:$A$322&amp;"",0)),IF(ISNUMBER(_xlpm.x),_xlpm.x,DATE(--LEFT(_xlpm.x,4),--MID(_xlpm.x,6,2),--MID(_xlpm.x,9,2)))),""))</f>
        <v>46030</v>
      </c>
    </row>
    <row r="45" spans="1:34" ht="61.5" customHeight="1" x14ac:dyDescent="0.35">
      <c r="A45" s="1" t="str">
        <f>[1]Contratos!A45</f>
        <v>CONTRATO 44 DE 2026</v>
      </c>
      <c r="B45" s="10" t="str">
        <f>[1]Contratos!B45</f>
        <v>PEDRO JOSE LEAL MESA</v>
      </c>
      <c r="C45" s="10" t="str">
        <f>[1]Contratos!E45</f>
        <v>Prestación de servicios profesionales o Apoyo a la gestión</v>
      </c>
      <c r="D45" s="10" t="s">
        <v>97</v>
      </c>
      <c r="E45" s="11" t="str">
        <f>[1]Contratos!F45</f>
        <v xml:space="preserve">
Prestación de servicios profesionales para apoyar el desarrollo y optimización de herramientas de analítica y visualización de datos, de acuerdo con lo previsto en la Agenda Regulatoria 2026-2027 y el Plan de Acción de la CRC para el año 2026.
</v>
      </c>
      <c r="F45" s="12">
        <v>66294096</v>
      </c>
      <c r="G45" s="13">
        <f>[1]Contratos!G45</f>
        <v>66294096</v>
      </c>
      <c r="H45" s="14" t="str">
        <f>IFERROR(VLOOKUP(A45, [1]Otrosí!A:F, 6, FALSE), "0")</f>
        <v>0</v>
      </c>
      <c r="I45" s="13">
        <f t="shared" si="0"/>
        <v>66294096</v>
      </c>
      <c r="J45" s="15">
        <f>IFERROR(_xlfn.LET(_xlpm.x,_xlfn.LET(_xlpm.n,--_xlfn.TEXTBEFORE(_xlfn.TEXTAFTER(A45,"CONTRATO ")," DE"),_xlpm.c,"CONTRATO "&amp;TEXT(_xlpm.n,"00")&amp;" DE 2026",_xlpm.h,'[1]SECOP II'!$A$1:$CQ$1,_xlpm.d,'[1]SECOP II'!$A$2:$CQ$94,_xlpm.r,INDEX(_xlpm.d,0,MATCH("Referencia del Contrato",_xlpm.h,0)),INDEX(_xlpm.d,MATCH(_xlpm.c,_xlpm.r,0),MATCH("Valor Pagado",_xlpm.h,0))),_xlfn.NUMBERVALUE(SUBSTITUTE(_xlpm.x,"$",""),".",",")),"")</f>
        <v>43235280</v>
      </c>
      <c r="K45" s="16">
        <f t="shared" si="1"/>
        <v>23058816</v>
      </c>
      <c r="L45" s="17">
        <f t="shared" si="2"/>
        <v>0.65217391304347827</v>
      </c>
      <c r="M45" s="18">
        <f>[1]Contratos!O45</f>
        <v>46037</v>
      </c>
      <c r="N45" s="18">
        <f>[1]Contratos!P45</f>
        <v>46038</v>
      </c>
      <c r="O45" s="18">
        <f>[1]Contratos!Q45</f>
        <v>46387</v>
      </c>
      <c r="P45" s="18" t="str">
        <f>IFERROR(VLOOKUP(A45, [1]Otrosí!A:L, 7, FALSE), "N/A")</f>
        <v>N/A</v>
      </c>
      <c r="Q45" s="19" t="str">
        <f>IFERROR(_xlfn.LET(_xlpm.h,'[1]SECOP II'!$A$1:$CQ$1,_xlpm.d,'[1]SECOP II'!$A$2:$CQ$94,_xlpm.r,INDEX(_xlpm.d,0,MATCH("Referencia del Contrato",_xlpm.h,0)),INDEX(_xlpm.d,MATCH("CONTRATO 44 DE 2026",_xlpm.r,0),MATCH("Tipo de Contrato",_xlpm.h,0))),"")</f>
        <v>Prestación de servicios</v>
      </c>
      <c r="R45" s="20" t="str">
        <f>IFERROR(_xlfn.LET(_xlpm.n,--_xlfn.TEXTBEFORE(_xlfn.TEXTAFTER(A45,"CONTRATO ")," DE"),_xlpm.c,"CONTRATO "&amp;TEXT(_xlpm.n,"00")&amp;" DE 2026",_xlpm.h,'[1]SECOP II'!$A$1:$CQ$1,_xlpm.d,'[1]SECOP II'!$A$2:$CQ$94,_xlpm.r,INDEX(_xlpm.d,0,MATCH("Referencia del Contrato",_xlpm.h,0)),INDEX(_xlpm.d,MATCH(_xlpm.c,_xlpm.r,0),MATCH("Destino Gasto",_xlpm.h,0))),"")</f>
        <v>Inversión</v>
      </c>
      <c r="S45" s="21" t="str">
        <f>IFERROR(_xlfn.LET(_xlpm.n,--_xlfn.TEXTBEFORE(_xlfn.TEXTAFTER(A45,"CONTRATO ")," DE"),_xlpm.c,"CONTRATO "&amp;TEXT(_xlpm.n,"00")&amp;" DE 2026",_xlpm.h,'[1]SECOP II'!$A$1:$CQ$1,_xlpm.d,'[1]SECOP II'!$A$2:$CQ$94,_xlpm.r,INDEX(_xlpm.d,0,MATCH("Referencia del Contrato",_xlpm.h,0)),INDEX(_xlpm.d,MATCH(_xlpm.c,_xlpm.r,0),MATCH("URLProceso",_xlpm.h,0))),"")</f>
        <v>https://community.secop.gov.co/Public/Tendering/OpportunityDetail/Index?noticeUID=CO1.NTC.9526987&amp;isFromPublicArea=True&amp;isModal=true&amp;asPopupView=true</v>
      </c>
      <c r="T45" s="22" t="str">
        <f>IFERROR(_xlfn.LET(_xlpm.h,'[1]SECOP II'!$A$1:$CQ$1,_xlpm.d,'[1]SECOP II'!$A$2:$CQ$94,_xlpm.r,INDEX(_xlpm.d,0,MATCH("Referencia del Contrato",_xlpm.h,0)),INDEX(_xlpm.d,MATCH("CONTRATO 44 DE 2026",_xlpm.r,0),MATCH("Estado Contrato",_xlpm.h,0))),"")</f>
        <v>En ejecución</v>
      </c>
      <c r="U45" s="10" t="str">
        <f>[1]Contratos!C45</f>
        <v>PN</v>
      </c>
      <c r="V45" s="10" t="str">
        <f>[1]Contratos!I45</f>
        <v>ANALÍTICA DE DATOS</v>
      </c>
      <c r="W45" s="23" t="str">
        <f>[1]Contratos!J45</f>
        <v>MIGUEL DURÁN</v>
      </c>
      <c r="X45" s="24" cm="1">
        <f t="array" ref="X45">IFERROR(VLOOKUP(W45,[1]COORD!$A$27:$B$67, 2, FALSE),[1]COORD!$B$27:$B$67)</f>
        <v>92541020</v>
      </c>
      <c r="Y45" s="25" t="s">
        <v>35</v>
      </c>
      <c r="Z45" s="26">
        <v>1233910198</v>
      </c>
      <c r="AA45" s="27" t="str" cm="1">
        <f t="array" ref="AA45">IF(Y45&lt;&gt;"NIT","N/A",IF(OR(Z45="",Z45="N/A"),"N/A",IF(ISERROR(VALUE(IF(ISNUMBER(FIND("-",TEXT(Z45,"@"))),LEFT(TEXT(Z45,"@"),FIND("-",TEXT(Z45,"@"))-1),TEXT(Z45,"@")))),"N/A",IF(MOD(SUMPRODUCT(VALUE(MID(TEXT(VALUE(IF(ISNUMBER(FIND("-",TEXT(Z45,"@"))),LEFT(TEXT(Z45,"@"),FIND("-",TEXT(Z45,"@"))-1),TEXT(Z45,"@"))),"000000000000000"),{15,14,13,12,11,10,9,8,7,6,5,4,3,2,1},1)),{3,7,13,17,19,23,29,37,41,43,47,53,59,67,71}),11)=0,0,IF(MOD(SUMPRODUCT(VALUE(MID(TEXT(VALUE(IF(ISNUMBER(FIND("-",TEXT(Z45,"@"))),LEFT(TEXT(Z45,"@"),FIND("-",TEXT(Z45,"@"))-1),TEXT(Z45,"@"))),"000000000000000"),{15,14,13,12,11,10,9,8,7,6,5,4,3,2,1},1)),{3,7,13,17,19,23,29,37,41,43,47,53,59,67,71}),11)=1,1,11-MOD(SUMPRODUCT(VALUE(MID(TEXT(VALUE(IF(ISNUMBER(FIND("-",TEXT(Z45,"@"))),LEFT(TEXT(Z45,"@"),FIND("-",TEXT(Z45,"@"))-1),TEXT(Z45,"@"))),"000000000000000"),{15,14,13,12,11,10,9,8,7,6,5,4,3,2,1},1)),{3,7,13,17,19,23,29,37,41,43,47,53,59,67,71}),11))))))</f>
        <v>N/A</v>
      </c>
      <c r="AB45" s="27">
        <v>81131500</v>
      </c>
      <c r="AC45" s="29" t="str">
        <f>[1]Contratos!Z45</f>
        <v>SI</v>
      </c>
      <c r="AD45" s="30">
        <f t="shared" si="3"/>
        <v>350</v>
      </c>
      <c r="AE45" s="31" t="s">
        <v>37</v>
      </c>
      <c r="AF45" s="31" t="str" cm="1">
        <f t="array" ref="AF45">IF(AG45="","",IFERROR(_xlfn.LET(_xlpm.x,INDEX([1]RP!$Z$2:$Z$706,MATCH(AG45&amp;"",[1]RP!$A$2:$A$706&amp;"",0)),IF(_xlpm.x="","",_xlpm.x)),""))</f>
        <v>6426</v>
      </c>
      <c r="AG45" s="31" cm="1">
        <f t="array" ref="AG45">IF(A45="","",IFERROR(_xlfn.LET(_xlpm.rp,[1]RP!$A$2:$A$706,_xlpm.dt,IFERROR(DATE(--LEFT([1]RP!$B$2:$B$706,4),--MID([1]RP!$B$2:$B$706,6,2),--MID([1]RP!$B$2:$B$706,9,2)),0),_xlpm.qid,UPPER(SUBSTITUTE(SUBSTITUTE(SUBSTITUTE(SUBSTITUTE([1]RP!$Q$2:$Q$706,".",""),"-","")," ",""),"O","0")),_xlpm.eid,UPPER(SUBSTITUTE(SUBSTITUTE(SUBSTITUTE(SUBSTITUTE(Z45,".",""),"-","")," ",""),"O","0")),_xlpm.qnm,UPPER(SUBSTITUTE(SUBSTITUTE(SUBSTITUTE(SUBSTITUTE(SUBSTITUTE([1]RP!$R$2:$R$706,".",""),"-","")," ",""),"Á","A"),"É","E")),_xlpm.enm,UPPER(SUBSTITUTE(SUBSTITUTE(SUBSTITUTE(SUBSTITUTE(SUBSTITUTE(B45,".",""),"-",""),"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45,"CONTRATO ")," DE")&amp;"/2026",_xlpm.dm,--ISNUMBER(SEARCH(_xlpm.num,_xlpm.sup)),_xlpm.dif,IF(_xlpm.ok,(1-_xlpm.dm)*1000000+IF(AND(ISNUMBER(M45),M45&gt;0),ABS(_xlpm.dt-M45),0),1E+99),_xlpm.md,MIN(_xlpm.dif),INDEX(_xlfn._xlws.FILTER(_xlpm.rp,(_xlpm.ok&gt;0)*(_xlpm.dif=_xlpm.md)),1)),""))</f>
        <v>4326</v>
      </c>
      <c r="AH45" s="32" cm="1">
        <f t="array" ref="AH45">IF(AF45="","",IFERROR(_xlfn.LET(_xlpm.x,INDEX([1]CDP!$B$2:$B$322,MATCH(AF45&amp;"",[1]CDP!$A$2:$A$322&amp;"",0)),IF(ISNUMBER(_xlpm.x),_xlpm.x,DATE(--LEFT(_xlpm.x,4),--MID(_xlpm.x,6,2),--MID(_xlpm.x,9,2)))),""))</f>
        <v>46030</v>
      </c>
    </row>
    <row r="46" spans="1:34" ht="61.5" customHeight="1" x14ac:dyDescent="0.35">
      <c r="A46" s="1" t="str">
        <f>[1]Contratos!A46</f>
        <v>CONTRATO 45 DE 2026</v>
      </c>
      <c r="B46" s="10" t="s">
        <v>98</v>
      </c>
      <c r="C46" s="10" t="str">
        <f>[1]Contratos!E46</f>
        <v>Prestación de servicios profesionales o Apoyo a la gestión</v>
      </c>
      <c r="D46" s="10" t="s">
        <v>99</v>
      </c>
      <c r="E46" s="11" t="str">
        <f>[1]Contratos!F46</f>
        <v>Prestar servicios profesionales altamente especializados en el área del derecho de las telecomunicaciones, la regulación económica y el derecho de la competencia, tendiente a apoyar a la Comisión de Regulación de Comunicaciones (CRC) en el análisis, desarrollo y fortalecimiento de sus estrategias jurídicas y regulatorias. El objetivo es contribuir eficazmente a la prevención del daño antijurídico, desde la expedición de actos administrativos complejos hasta la defensa de estos en estrados judiciales</v>
      </c>
      <c r="F46" s="12">
        <v>487143000</v>
      </c>
      <c r="G46" s="13">
        <f>[1]Contratos!G46</f>
        <v>487143000</v>
      </c>
      <c r="H46" s="14" t="str">
        <f>IFERROR(VLOOKUP(A46, [1]Otrosí!A:F, 6, FALSE), "0")</f>
        <v>0</v>
      </c>
      <c r="I46" s="13">
        <f t="shared" si="0"/>
        <v>487143000</v>
      </c>
      <c r="J46" s="15">
        <f>IFERROR(_xlfn.LET(_xlpm.x,_xlfn.LET(_xlpm.n,--_xlfn.TEXTBEFORE(_xlfn.TEXTAFTER(A46,"CONTRATO ")," DE"),_xlpm.c,"CONTRATO "&amp;TEXT(_xlpm.n,"00")&amp;" DE 2026",_xlpm.h,'[1]SECOP II'!$A$1:$CQ$1,_xlpm.d,'[1]SECOP II'!$A$2:$CQ$94,_xlpm.r,INDEX(_xlpm.d,0,MATCH("Referencia del Contrato",_xlpm.h,0)),INDEX(_xlpm.d,MATCH(_xlpm.c,_xlpm.r,0),MATCH("Valor Pagado",_xlpm.h,0))),_xlfn.NUMBERVALUE(SUBSTITUTE(_xlpm.x,"$",""),".",",")),"")</f>
        <v>152038504</v>
      </c>
      <c r="K46" s="16">
        <f t="shared" si="1"/>
        <v>335104496</v>
      </c>
      <c r="L46" s="17">
        <f t="shared" si="2"/>
        <v>0.31210240935413214</v>
      </c>
      <c r="M46" s="18">
        <f>[1]Contratos!O46</f>
        <v>46037</v>
      </c>
      <c r="N46" s="18">
        <f>[1]Contratos!P46</f>
        <v>46043</v>
      </c>
      <c r="O46" s="18">
        <f>[1]Contratos!Q46</f>
        <v>46387</v>
      </c>
      <c r="P46" s="18" t="str">
        <f>IFERROR(VLOOKUP(A46, [1]Otrosí!A:L, 7, FALSE), "N/A")</f>
        <v>N/A</v>
      </c>
      <c r="Q46" s="19" t="str">
        <f>IFERROR(_xlfn.LET(_xlpm.h,'[1]SECOP II'!$A$1:$CQ$1,_xlpm.d,'[1]SECOP II'!$A$2:$CQ$94,_xlpm.r,INDEX(_xlpm.d,0,MATCH("Referencia del Contrato",_xlpm.h,0)),INDEX(_xlpm.d,MATCH("CONTRATO 45 DE 2026",_xlpm.r,0),MATCH("Tipo de Contrato",_xlpm.h,0))),"")</f>
        <v>Prestación de servicios</v>
      </c>
      <c r="R46" s="20" t="str">
        <f>IFERROR(_xlfn.LET(_xlpm.n,--_xlfn.TEXTBEFORE(_xlfn.TEXTAFTER(A46,"CONTRATO ")," DE"),_xlpm.c,"CONTRATO "&amp;TEXT(_xlpm.n,"00")&amp;" DE 2026",_xlpm.h,'[1]SECOP II'!$A$1:$CQ$1,_xlpm.d,'[1]SECOP II'!$A$2:$CQ$94,_xlpm.r,INDEX(_xlpm.d,0,MATCH("Referencia del Contrato",_xlpm.h,0)),INDEX(_xlpm.d,MATCH(_xlpm.c,_xlpm.r,0),MATCH("Destino Gasto",_xlpm.h,0))),"")</f>
        <v>Inversión</v>
      </c>
      <c r="S46" s="21" t="str">
        <f>IFERROR(_xlfn.LET(_xlpm.n,--_xlfn.TEXTBEFORE(_xlfn.TEXTAFTER(A46,"CONTRATO ")," DE"),_xlpm.c,"CONTRATO "&amp;TEXT(_xlpm.n,"00")&amp;" DE 2026",_xlpm.h,'[1]SECOP II'!$A$1:$CQ$1,_xlpm.d,'[1]SECOP II'!$A$2:$CQ$94,_xlpm.r,INDEX(_xlpm.d,0,MATCH("Referencia del Contrato",_xlpm.h,0)),INDEX(_xlpm.d,MATCH(_xlpm.c,_xlpm.r,0),MATCH("URLProceso",_xlpm.h,0))),"")</f>
        <v>https://community.secop.gov.co/Public/Tendering/OpportunityDetail/Index?noticeUID=CO1.NTC.9535851&amp;isFromPublicArea=True&amp;isModal=true&amp;asPopupView=true</v>
      </c>
      <c r="T46" s="22" t="str">
        <f>IFERROR(_xlfn.LET(_xlpm.h,'[1]SECOP II'!$A$1:$CQ$1,_xlpm.d,'[1]SECOP II'!$A$2:$CQ$94,_xlpm.r,INDEX(_xlpm.d,0,MATCH("Referencia del Contrato",_xlpm.h,0)),INDEX(_xlpm.d,MATCH("CONTRATO 45 DE 2026",_xlpm.r,0),MATCH("Estado Contrato",_xlpm.h,0))),"")</f>
        <v>En ejecución</v>
      </c>
      <c r="U46" s="10" t="str">
        <f>[1]Contratos!C46</f>
        <v>PN</v>
      </c>
      <c r="V46" s="10" t="str">
        <f>[1]Contratos!I46</f>
        <v>DISEÑO REGULATORIO / GESTIÓN JURÍDICA</v>
      </c>
      <c r="W46" s="23" t="str">
        <f>[1]Contratos!J46</f>
        <v>VICTOR SANDOVAL</v>
      </c>
      <c r="X46" s="24" cm="1">
        <f t="array" ref="X46">IFERROR(VLOOKUP(W46,[1]COORD!$A$27:$B$67, 2, FALSE),[1]COORD!$B$27:$B$67)</f>
        <v>1026264211</v>
      </c>
      <c r="Y46" s="25" t="s">
        <v>35</v>
      </c>
      <c r="Z46" s="26">
        <v>75077160</v>
      </c>
      <c r="AA46" s="27" t="str" cm="1">
        <f t="array" ref="AA46">IF(Y46&lt;&gt;"NIT","N/A",IF(OR(Z46="",Z46="N/A"),"N/A",IF(ISERROR(VALUE(IF(ISNUMBER(FIND("-",TEXT(Z46,"@"))),LEFT(TEXT(Z46,"@"),FIND("-",TEXT(Z46,"@"))-1),TEXT(Z46,"@")))),"N/A",IF(MOD(SUMPRODUCT(VALUE(MID(TEXT(VALUE(IF(ISNUMBER(FIND("-",TEXT(Z46,"@"))),LEFT(TEXT(Z46,"@"),FIND("-",TEXT(Z46,"@"))-1),TEXT(Z46,"@"))),"000000000000000"),{15,14,13,12,11,10,9,8,7,6,5,4,3,2,1},1)),{3,7,13,17,19,23,29,37,41,43,47,53,59,67,71}),11)=0,0,IF(MOD(SUMPRODUCT(VALUE(MID(TEXT(VALUE(IF(ISNUMBER(FIND("-",TEXT(Z46,"@"))),LEFT(TEXT(Z46,"@"),FIND("-",TEXT(Z46,"@"))-1),TEXT(Z46,"@"))),"000000000000000"),{15,14,13,12,11,10,9,8,7,6,5,4,3,2,1},1)),{3,7,13,17,19,23,29,37,41,43,47,53,59,67,71}),11)=1,1,11-MOD(SUMPRODUCT(VALUE(MID(TEXT(VALUE(IF(ISNUMBER(FIND("-",TEXT(Z46,"@"))),LEFT(TEXT(Z46,"@"),FIND("-",TEXT(Z46,"@"))-1),TEXT(Z46,"@"))),"000000000000000"),{15,14,13,12,11,10,9,8,7,6,5,4,3,2,1},1)),{3,7,13,17,19,23,29,37,41,43,47,53,59,67,71}),11))))))</f>
        <v>N/A</v>
      </c>
      <c r="AB46" s="27">
        <v>80121601</v>
      </c>
      <c r="AC46" s="29" t="str">
        <f>[1]Contratos!Z46</f>
        <v>NO</v>
      </c>
      <c r="AD46" s="30">
        <f t="shared" si="3"/>
        <v>350</v>
      </c>
      <c r="AE46" s="31" t="s">
        <v>37</v>
      </c>
      <c r="AF46" s="31" t="str" cm="1">
        <f t="array" ref="AF46">IF(AG46="","",IFERROR(_xlfn.LET(_xlpm.x,INDEX([1]RP!$Z$2:$Z$706,MATCH(AG46&amp;"",[1]RP!$A$2:$A$706&amp;"",0)),IF(_xlpm.x="","",_xlpm.x)),""))</f>
        <v>5126</v>
      </c>
      <c r="AG46" s="31" cm="1">
        <f t="array" ref="AG46">IF(A46="","",IFERROR(_xlfn.LET(_xlpm.rp,[1]RP!$A$2:$A$706,_xlpm.dt,IFERROR(DATE(--LEFT([1]RP!$B$2:$B$706,4),--MID([1]RP!$B$2:$B$706,6,2),--MID([1]RP!$B$2:$B$706,9,2)),0),_xlpm.qid,UPPER(SUBSTITUTE(SUBSTITUTE(SUBSTITUTE(SUBSTITUTE([1]RP!$Q$2:$Q$706,".",""),"-","")," ",""),"O","0")),_xlpm.eid,UPPER(SUBSTITUTE(SUBSTITUTE(SUBSTITUTE(SUBSTITUTE(Z46,".",""),"-","")," ",""),"O","0")),_xlpm.qnm,UPPER(SUBSTITUTE(SUBSTITUTE(SUBSTITUTE(SUBSTITUTE(SUBSTITUTE([1]RP!$R$2:$R$706,".",""),"-","")," ",""),"Á","A"),"É","E")),_xlpm.enm,UPPER(SUBSTITUTE(SUBSTITUTE(SUBSTITUTE(SUBSTITUTE(SUBSTITUTE(B46,".",""),"-",""),"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46,"CONTRATO ")," DE")&amp;"/2026",_xlpm.dm,--ISNUMBER(SEARCH(_xlpm.num,_xlpm.sup)),_xlpm.dif,IF(_xlpm.ok,(1-_xlpm.dm)*1000000+IF(AND(ISNUMBER(M46),M46&gt;0),ABS(_xlpm.dt-M46),0),1E+99),_xlpm.md,MIN(_xlpm.dif),INDEX(_xlfn._xlws.FILTER(_xlpm.rp,(_xlpm.ok&gt;0)*(_xlpm.dif=_xlpm.md)),1)),""))</f>
        <v>6026</v>
      </c>
      <c r="AH46" s="32" cm="1">
        <f t="array" ref="AH46">IF(AF46="","",IFERROR(_xlfn.LET(_xlpm.x,INDEX([1]CDP!$B$2:$B$322,MATCH(AF46&amp;"",[1]CDP!$A$2:$A$322&amp;"",0)),IF(ISNUMBER(_xlpm.x),_xlpm.x,DATE(--LEFT(_xlpm.x,4),--MID(_xlpm.x,6,2),--MID(_xlpm.x,9,2)))),""))</f>
        <v>46030</v>
      </c>
    </row>
    <row r="47" spans="1:34" ht="61.5" customHeight="1" x14ac:dyDescent="0.35">
      <c r="A47" s="1" t="str">
        <f>[1]Contratos!A47</f>
        <v>CONTRATO 46 DE 2026</v>
      </c>
      <c r="B47" s="10" t="s">
        <v>100</v>
      </c>
      <c r="C47" s="10" t="str">
        <f>[1]Contratos!E47</f>
        <v>Prestación de servicios profesionales o Apoyo a la gestión</v>
      </c>
      <c r="D47" s="10" t="s">
        <v>101</v>
      </c>
      <c r="E47" s="11" t="str">
        <f>[1]Contratos!F47</f>
        <v>Contratar servicios profesionales especializados en el ámbito del derecho público, orientados a la prestación de apoyo jurídico estratégico a la Comisión de Regulación de Comunicaciones – CRC en la atención, análisis y gestión de asuntos jurídicos de alta complejidad en materia de derecho administrativo, derecho administrativo laboral, régimen sancionatorio y disciplinario. El servicio comprenderá la elaboración de análisis jurídicos, la formulación de estrategias de defensa y el acompañamiento técnico-jurídico en los procesos judiciales y actuaciones administrativas en los que intervenga la Entidad, de conformidad con sus competencias y necesidades institucionales</v>
      </c>
      <c r="F47" s="12">
        <v>200299995</v>
      </c>
      <c r="G47" s="13">
        <f>[1]Contratos!G47</f>
        <v>200299995</v>
      </c>
      <c r="H47" s="14" t="str">
        <f>IFERROR(VLOOKUP(A47, [1]Otrosí!A:F, 6, FALSE), "0")</f>
        <v>0</v>
      </c>
      <c r="I47" s="13">
        <f t="shared" si="0"/>
        <v>200299995</v>
      </c>
      <c r="J47" s="15">
        <f>IFERROR(_xlfn.LET(_xlpm.x,_xlfn.LET(_xlpm.n,--_xlfn.TEXTBEFORE(_xlfn.TEXTAFTER(A47,"CONTRATO ")," DE"),_xlpm.c,"CONTRATO "&amp;TEXT(_xlpm.n,"00")&amp;" DE 2026",_xlpm.h,'[1]SECOP II'!$A$1:$CQ$1,_xlpm.d,'[1]SECOP II'!$A$2:$CQ$94,_xlpm.r,INDEX(_xlpm.d,0,MATCH("Referencia del Contrato",_xlpm.h,0)),INDEX(_xlpm.d,MATCH(_xlpm.c,_xlpm.r,0),MATCH("Valor Pagado",_xlpm.h,0))),_xlfn.NUMBERVALUE(SUBSTITUTE(_xlpm.x,"$",""),".",",")),"")</f>
        <v>92221440</v>
      </c>
      <c r="K47" s="16">
        <f t="shared" si="1"/>
        <v>108078555</v>
      </c>
      <c r="L47" s="17">
        <f t="shared" si="2"/>
        <v>0.46041658663046897</v>
      </c>
      <c r="M47" s="18">
        <f>[1]Contratos!O47</f>
        <v>46036</v>
      </c>
      <c r="N47" s="18">
        <f>[1]Contratos!P47</f>
        <v>46041</v>
      </c>
      <c r="O47" s="18">
        <f>[1]Contratos!Q47</f>
        <v>46387</v>
      </c>
      <c r="P47" s="18" t="str">
        <f>IFERROR(VLOOKUP(A47, [1]Otrosí!A:L, 7, FALSE), "N/A")</f>
        <v>N/A</v>
      </c>
      <c r="Q47" s="19" t="str">
        <f>IFERROR(_xlfn.LET(_xlpm.h,'[1]SECOP II'!$A$1:$CQ$1,_xlpm.d,'[1]SECOP II'!$A$2:$CQ$94,_xlpm.r,INDEX(_xlpm.d,0,MATCH("Referencia del Contrato",_xlpm.h,0)),INDEX(_xlpm.d,MATCH("CONTRATO 46 DE 2026",_xlpm.r,0),MATCH("Tipo de Contrato",_xlpm.h,0))),"")</f>
        <v>Prestación de servicios</v>
      </c>
      <c r="R47" s="20" t="str">
        <f>IFERROR(_xlfn.LET(_xlpm.n,--_xlfn.TEXTBEFORE(_xlfn.TEXTAFTER(A47,"CONTRATO ")," DE"),_xlpm.c,"CONTRATO "&amp;TEXT(_xlpm.n,"00")&amp;" DE 2026",_xlpm.h,'[1]SECOP II'!$A$1:$CQ$1,_xlpm.d,'[1]SECOP II'!$A$2:$CQ$94,_xlpm.r,INDEX(_xlpm.d,0,MATCH("Referencia del Contrato",_xlpm.h,0)),INDEX(_xlpm.d,MATCH(_xlpm.c,_xlpm.r,0),MATCH("Destino Gasto",_xlpm.h,0))),"")</f>
        <v>Inversión</v>
      </c>
      <c r="S47" s="21" t="str">
        <f>IFERROR(_xlfn.LET(_xlpm.n,--_xlfn.TEXTBEFORE(_xlfn.TEXTAFTER(A47,"CONTRATO ")," DE"),_xlpm.c,"CONTRATO "&amp;TEXT(_xlpm.n,"00")&amp;" DE 2026",_xlpm.h,'[1]SECOP II'!$A$1:$CQ$1,_xlpm.d,'[1]SECOP II'!$A$2:$CQ$94,_xlpm.r,INDEX(_xlpm.d,0,MATCH("Referencia del Contrato",_xlpm.h,0)),INDEX(_xlpm.d,MATCH(_xlpm.c,_xlpm.r,0),MATCH("URLProceso",_xlpm.h,0))),"")</f>
        <v>https://community.secop.gov.co/Public/Tendering/OpportunityDetail/Index?noticeUID=CO1.NTC.9527885&amp;isFromPublicArea=True&amp;isModal=true&amp;asPopupView=true</v>
      </c>
      <c r="T47" s="22" t="str">
        <f>IFERROR(_xlfn.LET(_xlpm.h,'[1]SECOP II'!$A$1:$CQ$1,_xlpm.d,'[1]SECOP II'!$A$2:$CQ$94,_xlpm.r,INDEX(_xlpm.d,0,MATCH("Referencia del Contrato",_xlpm.h,0)),INDEX(_xlpm.d,MATCH("CONTRATO 46 DE 2026",_xlpm.r,0),MATCH("Estado Contrato",_xlpm.h,0))),"")</f>
        <v>En ejecución</v>
      </c>
      <c r="U47" s="10" t="str">
        <f>[1]Contratos!C47</f>
        <v>PN</v>
      </c>
      <c r="V47" s="10" t="str">
        <f>[1]Contratos!I47</f>
        <v>GESTIÓN JURÍDICA</v>
      </c>
      <c r="W47" s="23" t="str">
        <f>[1]Contratos!J47</f>
        <v>VICTOR SANDOVAL</v>
      </c>
      <c r="X47" s="24" cm="1">
        <f t="array" ref="X47">IFERROR(VLOOKUP(W47,[1]COORD!$A$27:$B$67, 2, FALSE),[1]COORD!$B$27:$B$67)</f>
        <v>1026264211</v>
      </c>
      <c r="Y47" s="25" t="s">
        <v>35</v>
      </c>
      <c r="Z47" s="26">
        <v>80088885</v>
      </c>
      <c r="AA47" s="27" t="str" cm="1">
        <f t="array" ref="AA47">IF(Y47&lt;&gt;"NIT","N/A",IF(OR(Z47="",Z47="N/A"),"N/A",IF(ISERROR(VALUE(IF(ISNUMBER(FIND("-",TEXT(Z47,"@"))),LEFT(TEXT(Z47,"@"),FIND("-",TEXT(Z47,"@"))-1),TEXT(Z47,"@")))),"N/A",IF(MOD(SUMPRODUCT(VALUE(MID(TEXT(VALUE(IF(ISNUMBER(FIND("-",TEXT(Z47,"@"))),LEFT(TEXT(Z47,"@"),FIND("-",TEXT(Z47,"@"))-1),TEXT(Z47,"@"))),"000000000000000"),{15,14,13,12,11,10,9,8,7,6,5,4,3,2,1},1)),{3,7,13,17,19,23,29,37,41,43,47,53,59,67,71}),11)=0,0,IF(MOD(SUMPRODUCT(VALUE(MID(TEXT(VALUE(IF(ISNUMBER(FIND("-",TEXT(Z47,"@"))),LEFT(TEXT(Z47,"@"),FIND("-",TEXT(Z47,"@"))-1),TEXT(Z47,"@"))),"000000000000000"),{15,14,13,12,11,10,9,8,7,6,5,4,3,2,1},1)),{3,7,13,17,19,23,29,37,41,43,47,53,59,67,71}),11)=1,1,11-MOD(SUMPRODUCT(VALUE(MID(TEXT(VALUE(IF(ISNUMBER(FIND("-",TEXT(Z47,"@"))),LEFT(TEXT(Z47,"@"),FIND("-",TEXT(Z47,"@"))-1),TEXT(Z47,"@"))),"000000000000000"),{15,14,13,12,11,10,9,8,7,6,5,4,3,2,1},1)),{3,7,13,17,19,23,29,37,41,43,47,53,59,67,71}),11))))))</f>
        <v>N/A</v>
      </c>
      <c r="AB47" s="27">
        <v>80121601</v>
      </c>
      <c r="AC47" s="29" t="str">
        <f>[1]Contratos!Z47</f>
        <v>NO</v>
      </c>
      <c r="AD47" s="30">
        <f t="shared" si="3"/>
        <v>351</v>
      </c>
      <c r="AE47" s="31" t="s">
        <v>37</v>
      </c>
      <c r="AF47" s="31" t="str" cm="1">
        <f t="array" ref="AF47">IF(AG47="","",IFERROR(_xlfn.LET(_xlpm.x,INDEX([1]RP!$Z$2:$Z$706,MATCH(AG47&amp;"",[1]RP!$A$2:$A$706&amp;"",0)),IF(_xlpm.x="","",_xlpm.x)),""))</f>
        <v>4726</v>
      </c>
      <c r="AG47" s="31" cm="1">
        <f t="array" ref="AG47">IF(A47="","",IFERROR(_xlfn.LET(_xlpm.rp,[1]RP!$A$2:$A$706,_xlpm.dt,IFERROR(DATE(--LEFT([1]RP!$B$2:$B$706,4),--MID([1]RP!$B$2:$B$706,6,2),--MID([1]RP!$B$2:$B$706,9,2)),0),_xlpm.qid,UPPER(SUBSTITUTE(SUBSTITUTE(SUBSTITUTE(SUBSTITUTE([1]RP!$Q$2:$Q$706,".",""),"-","")," ",""),"O","0")),_xlpm.eid,UPPER(SUBSTITUTE(SUBSTITUTE(SUBSTITUTE(SUBSTITUTE(Z47,".",""),"-","")," ",""),"O","0")),_xlpm.qnm,UPPER(SUBSTITUTE(SUBSTITUTE(SUBSTITUTE(SUBSTITUTE(SUBSTITUTE([1]RP!$R$2:$R$706,".",""),"-","")," ",""),"Á","A"),"É","E")),_xlpm.enm,UPPER(SUBSTITUTE(SUBSTITUTE(SUBSTITUTE(SUBSTITUTE(SUBSTITUTE(B47,".",""),"-",""),"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47,"CONTRATO ")," DE")&amp;"/2026",_xlpm.dm,--ISNUMBER(SEARCH(_xlpm.num,_xlpm.sup)),_xlpm.dif,IF(_xlpm.ok,(1-_xlpm.dm)*1000000+IF(AND(ISNUMBER(M47),M47&gt;0),ABS(_xlpm.dt-M47),0),1E+99),_xlpm.md,MIN(_xlpm.dif),INDEX(_xlfn._xlws.FILTER(_xlpm.rp,(_xlpm.ok&gt;0)*(_xlpm.dif=_xlpm.md)),1)),""))</f>
        <v>5526</v>
      </c>
      <c r="AH47" s="32" cm="1">
        <f t="array" ref="AH47">IF(AF47="","",IFERROR(_xlfn.LET(_xlpm.x,INDEX([1]CDP!$B$2:$B$322,MATCH(AF47&amp;"",[1]CDP!$A$2:$A$322&amp;"",0)),IF(ISNUMBER(_xlpm.x),_xlpm.x,DATE(--LEFT(_xlpm.x,4),--MID(_xlpm.x,6,2),--MID(_xlpm.x,9,2)))),""))</f>
        <v>46030</v>
      </c>
    </row>
    <row r="48" spans="1:34" ht="61.5" customHeight="1" x14ac:dyDescent="0.35">
      <c r="A48" s="1" t="str">
        <f>[1]Contratos!A48</f>
        <v>CONTRATO 47 DE 2026</v>
      </c>
      <c r="B48" s="10" t="str">
        <f>[1]Contratos!B48</f>
        <v>MARCELLO CORREA</v>
      </c>
      <c r="C48" s="10" t="str">
        <f>[1]Contratos!E48</f>
        <v>Prestación de servicios profesionales o Apoyo a la gestión</v>
      </c>
      <c r="D48" s="10" t="s">
        <v>102</v>
      </c>
      <c r="E48" s="11" t="str">
        <f>[1]Contratos!F48</f>
        <v>Brindar apoyo profesional para observar, analizar y evaluar contenidos audiovisuales con el fin de generar informes y reportes sobre el cumplimiento de los lineamientos legales y reglamentarios de dichos contenidos respecto del pluralismo e imparcialidad informativos, en el marco de los proyectos contemplados dentro de la Agenda Regulatoria y el Plan de Acción 2026</v>
      </c>
      <c r="F48" s="12">
        <v>40000000</v>
      </c>
      <c r="G48" s="13">
        <f>[1]Contratos!G48</f>
        <v>40000000</v>
      </c>
      <c r="H48" s="14" t="str">
        <f>IFERROR(VLOOKUP(A48, [1]Otrosí!A:F, 6, FALSE), "0")</f>
        <v>0</v>
      </c>
      <c r="I48" s="13">
        <f t="shared" si="0"/>
        <v>40000000</v>
      </c>
      <c r="J48" s="15">
        <f>IFERROR(_xlfn.LET(_xlpm.x,_xlfn.LET(_xlpm.n,--_xlfn.TEXTBEFORE(_xlfn.TEXTAFTER(A48,"CONTRATO ")," DE"),_xlpm.c,"CONTRATO "&amp;TEXT(_xlpm.n,"00")&amp;" DE 2026",_xlpm.h,'[1]SECOP II'!$A$1:$CQ$1,_xlpm.d,'[1]SECOP II'!$A$2:$CQ$94,_xlpm.r,INDEX(_xlpm.d,0,MATCH("Referencia del Contrato",_xlpm.h,0)),INDEX(_xlpm.d,MATCH(_xlpm.c,_xlpm.r,0),MATCH("Valor Pagado",_xlpm.h,0))),_xlfn.NUMBERVALUE(SUBSTITUTE(_xlpm.x,"$",""),".",",")),"")</f>
        <v>32000000</v>
      </c>
      <c r="K48" s="16">
        <f t="shared" si="1"/>
        <v>8000000</v>
      </c>
      <c r="L48" s="17">
        <f t="shared" si="2"/>
        <v>0.8</v>
      </c>
      <c r="M48" s="18">
        <f>[1]Contratos!O48</f>
        <v>46042</v>
      </c>
      <c r="N48" s="18">
        <f>[1]Contratos!P48</f>
        <v>46048</v>
      </c>
      <c r="O48" s="18">
        <f>[1]Contratos!Q48</f>
        <v>46351</v>
      </c>
      <c r="P48" s="18" t="str">
        <f>IFERROR(VLOOKUP(A48, [1]Otrosí!A:L, 7, FALSE), "N/A")</f>
        <v>N/A</v>
      </c>
      <c r="Q48" s="19" t="str">
        <f>IFERROR(_xlfn.LET(_xlpm.h,'[1]SECOP II'!$A$1:$CQ$1,_xlpm.d,'[1]SECOP II'!$A$2:$CQ$94,_xlpm.r,INDEX(_xlpm.d,0,MATCH("Referencia del Contrato",_xlpm.h,0)),INDEX(_xlpm.d,MATCH("CONTRATO 47 DE 2026",_xlpm.r,0),MATCH("Tipo de Contrato",_xlpm.h,0))),"")</f>
        <v>Prestación de servicios</v>
      </c>
      <c r="R48" s="20" t="str">
        <f>IFERROR(_xlfn.LET(_xlpm.n,--_xlfn.TEXTBEFORE(_xlfn.TEXTAFTER(A48,"CONTRATO ")," DE"),_xlpm.c,"CONTRATO "&amp;TEXT(_xlpm.n,"00")&amp;" DE 2026",_xlpm.h,'[1]SECOP II'!$A$1:$CQ$1,_xlpm.d,'[1]SECOP II'!$A$2:$CQ$94,_xlpm.r,INDEX(_xlpm.d,0,MATCH("Referencia del Contrato",_xlpm.h,0)),INDEX(_xlpm.d,MATCH(_xlpm.c,_xlpm.r,0),MATCH("Destino Gasto",_xlpm.h,0))),"")</f>
        <v>Inversión</v>
      </c>
      <c r="S48" s="21" t="str">
        <f>IFERROR(_xlfn.LET(_xlpm.n,--_xlfn.TEXTBEFORE(_xlfn.TEXTAFTER(A48,"CONTRATO ")," DE"),_xlpm.c,"CONTRATO "&amp;TEXT(_xlpm.n,"00")&amp;" DE 2026",_xlpm.h,'[1]SECOP II'!$A$1:$CQ$1,_xlpm.d,'[1]SECOP II'!$A$2:$CQ$94,_xlpm.r,INDEX(_xlpm.d,0,MATCH("Referencia del Contrato",_xlpm.h,0)),INDEX(_xlpm.d,MATCH(_xlpm.c,_xlpm.r,0),MATCH("URLProceso",_xlpm.h,0))),"")</f>
        <v>https://community.secop.gov.co/Public/Tendering/OpportunityDetail/Index?noticeUID=CO1.NTC.9616424&amp;isFromPublicArea=True&amp;isModal=true&amp;asPopupView=true</v>
      </c>
      <c r="T48" s="22" t="str">
        <f>IFERROR(_xlfn.LET(_xlpm.h,'[1]SECOP II'!$A$1:$CQ$1,_xlpm.d,'[1]SECOP II'!$A$2:$CQ$94,_xlpm.r,INDEX(_xlpm.d,0,MATCH("Referencia del Contrato",_xlpm.h,0)),INDEX(_xlpm.d,MATCH("CONTRATO 47 DE 2026",_xlpm.r,0),MATCH("Estado Contrato",_xlpm.h,0))),"")</f>
        <v>En ejecución</v>
      </c>
      <c r="U48" s="10" t="str">
        <f>[1]Contratos!C48</f>
        <v>PN</v>
      </c>
      <c r="V48" s="10" t="str">
        <f>[1]Contratos!I48</f>
        <v>PEDAGOGÍA REGULATORIA</v>
      </c>
      <c r="W48" s="23" t="str">
        <f>[1]Contratos!J48</f>
        <v>RICARDO RAMÍREZ</v>
      </c>
      <c r="X48" s="24" cm="1">
        <f t="array" ref="X48">IFERROR(VLOOKUP(W48,[1]COORD!$A$27:$B$67, 2, FALSE),[1]COORD!$B$27:$B$67)</f>
        <v>79444533</v>
      </c>
      <c r="Y48" s="25" t="s">
        <v>35</v>
      </c>
      <c r="Z48" s="26">
        <v>1088038389</v>
      </c>
      <c r="AA48" s="27" t="str" cm="1">
        <f t="array" ref="AA48">IF(Y48&lt;&gt;"NIT","N/A",IF(OR(Z48="",Z48="N/A"),"N/A",IF(ISERROR(VALUE(IF(ISNUMBER(FIND("-",TEXT(Z48,"@"))),LEFT(TEXT(Z48,"@"),FIND("-",TEXT(Z48,"@"))-1),TEXT(Z48,"@")))),"N/A",IF(MOD(SUMPRODUCT(VALUE(MID(TEXT(VALUE(IF(ISNUMBER(FIND("-",TEXT(Z48,"@"))),LEFT(TEXT(Z48,"@"),FIND("-",TEXT(Z48,"@"))-1),TEXT(Z48,"@"))),"000000000000000"),{15,14,13,12,11,10,9,8,7,6,5,4,3,2,1},1)),{3,7,13,17,19,23,29,37,41,43,47,53,59,67,71}),11)=0,0,IF(MOD(SUMPRODUCT(VALUE(MID(TEXT(VALUE(IF(ISNUMBER(FIND("-",TEXT(Z48,"@"))),LEFT(TEXT(Z48,"@"),FIND("-",TEXT(Z48,"@"))-1),TEXT(Z48,"@"))),"000000000000000"),{15,14,13,12,11,10,9,8,7,6,5,4,3,2,1},1)),{3,7,13,17,19,23,29,37,41,43,47,53,59,67,71}),11)=1,1,11-MOD(SUMPRODUCT(VALUE(MID(TEXT(VALUE(IF(ISNUMBER(FIND("-",TEXT(Z48,"@"))),LEFT(TEXT(Z48,"@"),FIND("-",TEXT(Z48,"@"))-1),TEXT(Z48,"@"))),"000000000000000"),{15,14,13,12,11,10,9,8,7,6,5,4,3,2,1},1)),{3,7,13,17,19,23,29,37,41,43,47,53,59,67,71}),11))))))</f>
        <v>N/A</v>
      </c>
      <c r="AB48" s="27">
        <v>81111806</v>
      </c>
      <c r="AC48" s="29" t="str">
        <f>[1]Contratos!Z48</f>
        <v>SI</v>
      </c>
      <c r="AD48" s="30">
        <f t="shared" si="3"/>
        <v>309</v>
      </c>
      <c r="AE48" s="31" t="s">
        <v>37</v>
      </c>
      <c r="AF48" s="31" t="str" cm="1">
        <f t="array" ref="AF48">IF(AG48="","",IFERROR(_xlfn.LET(_xlpm.x,INDEX([1]RP!$Z$2:$Z$706,MATCH(AG48&amp;"",[1]RP!$A$2:$A$706&amp;"",0)),IF(_xlpm.x="","",_xlpm.x)),""))</f>
        <v>7126</v>
      </c>
      <c r="AG48" s="31" cm="1">
        <f t="array" ref="AG48">IF(A48="","",IFERROR(_xlfn.LET(_xlpm.rp,[1]RP!$A$2:$A$706,_xlpm.dt,IFERROR(DATE(--LEFT([1]RP!$B$2:$B$706,4),--MID([1]RP!$B$2:$B$706,6,2),--MID([1]RP!$B$2:$B$706,9,2)),0),_xlpm.qid,UPPER(SUBSTITUTE(SUBSTITUTE(SUBSTITUTE(SUBSTITUTE([1]RP!$Q$2:$Q$706,".",""),"-","")," ",""),"O","0")),_xlpm.eid,UPPER(SUBSTITUTE(SUBSTITUTE(SUBSTITUTE(SUBSTITUTE(Z48,".",""),"-","")," ",""),"O","0")),_xlpm.qnm,UPPER(SUBSTITUTE(SUBSTITUTE(SUBSTITUTE(SUBSTITUTE(SUBSTITUTE([1]RP!$R$2:$R$706,".",""),"-","")," ",""),"Á","A"),"É","E")),_xlpm.enm,UPPER(SUBSTITUTE(SUBSTITUTE(SUBSTITUTE(SUBSTITUTE(SUBSTITUTE(B48,".",""),"-",""),"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48,"CONTRATO ")," DE")&amp;"/2026",_xlpm.dm,--ISNUMBER(SEARCH(_xlpm.num,_xlpm.sup)),_xlpm.dif,IF(_xlpm.ok,(1-_xlpm.dm)*1000000+IF(AND(ISNUMBER(M48),M48&gt;0),ABS(_xlpm.dt-M48),0),1E+99),_xlpm.md,MIN(_xlpm.dif),INDEX(_xlfn._xlws.FILTER(_xlpm.rp,(_xlpm.ok&gt;0)*(_xlpm.dif=_xlpm.md)),1)),""))</f>
        <v>7226</v>
      </c>
      <c r="AH48" s="32" cm="1">
        <f t="array" ref="AH48">IF(AF48="","",IFERROR(_xlfn.LET(_xlpm.x,INDEX([1]CDP!$B$2:$B$322,MATCH(AF48&amp;"",[1]CDP!$A$2:$A$322&amp;"",0)),IF(ISNUMBER(_xlpm.x),_xlpm.x,DATE(--LEFT(_xlpm.x,4),--MID(_xlpm.x,6,2),--MID(_xlpm.x,9,2)))),""))</f>
        <v>46037</v>
      </c>
    </row>
    <row r="49" spans="1:34" ht="61.5" customHeight="1" x14ac:dyDescent="0.35">
      <c r="A49" s="1" t="str">
        <f>[1]Contratos!A49</f>
        <v>CONTRATO 48 DE 2026</v>
      </c>
      <c r="B49" s="10" t="str">
        <f>[1]Contratos!B49</f>
        <v>DANIEL FEDERICO CLAVIJO DUEÑAS</v>
      </c>
      <c r="C49" s="10" t="str">
        <f>[1]Contratos!E49</f>
        <v>Prestación de servicios profesionales o Apoyo a la gestión</v>
      </c>
      <c r="D49" s="10" t="s">
        <v>103</v>
      </c>
      <c r="E49" s="11" t="str">
        <f>[1]Contratos!F49</f>
        <v>Brindar apoyo profesional para observar, analizar y evaluar contenidos audiovisuales con el fin de generar informes y reportes sobre el cumplimiento de los lineamientos legales y reglamentarios de dichos contenidos respecto del pluralismo e imparcialidad informativos, en el marco de los proyectos contemplados dentro de la Agenda Regulatoria y el Plan de Acción 2026.</v>
      </c>
      <c r="F49" s="12">
        <v>40000000</v>
      </c>
      <c r="G49" s="13">
        <f>[1]Contratos!G49</f>
        <v>40000000</v>
      </c>
      <c r="H49" s="14" t="str">
        <f>IFERROR(VLOOKUP(A49, [1]Otrosí!A:F, 6, FALSE), "0")</f>
        <v>0</v>
      </c>
      <c r="I49" s="13">
        <f t="shared" si="0"/>
        <v>40000000</v>
      </c>
      <c r="J49" s="15">
        <f>IFERROR(_xlfn.LET(_xlpm.x,_xlfn.LET(_xlpm.n,--_xlfn.TEXTBEFORE(_xlfn.TEXTAFTER(A49,"CONTRATO ")," DE"),_xlpm.c,"CONTRATO "&amp;TEXT(_xlpm.n,"00")&amp;" DE 2026",_xlpm.h,'[1]SECOP II'!$A$1:$CQ$1,_xlpm.d,'[1]SECOP II'!$A$2:$CQ$94,_xlpm.r,INDEX(_xlpm.d,0,MATCH("Referencia del Contrato",_xlpm.h,0)),INDEX(_xlpm.d,MATCH(_xlpm.c,_xlpm.r,0),MATCH("Valor Pagado",_xlpm.h,0))),_xlfn.NUMBERVALUE(SUBSTITUTE(_xlpm.x,"$",""),".",",")),"")</f>
        <v>32000000</v>
      </c>
      <c r="K49" s="16">
        <f t="shared" si="1"/>
        <v>8000000</v>
      </c>
      <c r="L49" s="17">
        <f t="shared" si="2"/>
        <v>0.8</v>
      </c>
      <c r="M49" s="18">
        <f>[1]Contratos!O49</f>
        <v>46041</v>
      </c>
      <c r="N49" s="18">
        <f>[1]Contratos!P49</f>
        <v>46048</v>
      </c>
      <c r="O49" s="18">
        <f>[1]Contratos!Q49</f>
        <v>46351</v>
      </c>
      <c r="P49" s="18" t="str">
        <f>IFERROR(VLOOKUP(A49, [1]Otrosí!A:L, 7, FALSE), "N/A")</f>
        <v>N/A</v>
      </c>
      <c r="Q49" s="19" t="str">
        <f>IFERROR(_xlfn.LET(_xlpm.h,'[1]SECOP II'!$A$1:$CQ$1,_xlpm.d,'[1]SECOP II'!$A$2:$CQ$94,_xlpm.r,INDEX(_xlpm.d,0,MATCH("Referencia del Contrato",_xlpm.h,0)),INDEX(_xlpm.d,MATCH("CONTRATO 48 DE 2026",_xlpm.r,0),MATCH("Tipo de Contrato",_xlpm.h,0))),"")</f>
        <v>Prestación de servicios</v>
      </c>
      <c r="R49" s="20" t="str">
        <f>IFERROR(_xlfn.LET(_xlpm.n,--_xlfn.TEXTBEFORE(_xlfn.TEXTAFTER(A49,"CONTRATO ")," DE"),_xlpm.c,"CONTRATO "&amp;TEXT(_xlpm.n,"00")&amp;" DE 2026",_xlpm.h,'[1]SECOP II'!$A$1:$CQ$1,_xlpm.d,'[1]SECOP II'!$A$2:$CQ$94,_xlpm.r,INDEX(_xlpm.d,0,MATCH("Referencia del Contrato",_xlpm.h,0)),INDEX(_xlpm.d,MATCH(_xlpm.c,_xlpm.r,0),MATCH("Destino Gasto",_xlpm.h,0))),"")</f>
        <v>Inversión</v>
      </c>
      <c r="S49" s="21" t="str">
        <f>IFERROR(_xlfn.LET(_xlpm.n,--_xlfn.TEXTBEFORE(_xlfn.TEXTAFTER(A49,"CONTRATO ")," DE"),_xlpm.c,"CONTRATO "&amp;TEXT(_xlpm.n,"00")&amp;" DE 2026",_xlpm.h,'[1]SECOP II'!$A$1:$CQ$1,_xlpm.d,'[1]SECOP II'!$A$2:$CQ$94,_xlpm.r,INDEX(_xlpm.d,0,MATCH("Referencia del Contrato",_xlpm.h,0)),INDEX(_xlpm.d,MATCH(_xlpm.c,_xlpm.r,0),MATCH("URLProceso",_xlpm.h,0))),"")</f>
        <v>https://community.secop.gov.co/Public/Tendering/OpportunityDetail/Index?noticeUID=CO1.NTC.9606657&amp;isFromPublicArea=True&amp;isModal=true&amp;asPopupView=true</v>
      </c>
      <c r="T49" s="22" t="str">
        <f>IFERROR(_xlfn.LET(_xlpm.h,'[1]SECOP II'!$A$1:$CQ$1,_xlpm.d,'[1]SECOP II'!$A$2:$CQ$94,_xlpm.r,INDEX(_xlpm.d,0,MATCH("Referencia del Contrato",_xlpm.h,0)),INDEX(_xlpm.d,MATCH("CONTRATO 48 DE 2026",_xlpm.r,0),MATCH("Estado Contrato",_xlpm.h,0))),"")</f>
        <v>En ejecución</v>
      </c>
      <c r="U49" s="10" t="str">
        <f>[1]Contratos!C49</f>
        <v>PN</v>
      </c>
      <c r="V49" s="10" t="str">
        <f>[1]Contratos!I49</f>
        <v>PEDAGOGÍA REGULATORIA</v>
      </c>
      <c r="W49" s="23" t="str">
        <f>[1]Contratos!J49</f>
        <v>RICARDO RAMÍREZ</v>
      </c>
      <c r="X49" s="24" cm="1">
        <f t="array" ref="X49">IFERROR(VLOOKUP(W49,[1]COORD!$A$27:$B$67, 2, FALSE),[1]COORD!$B$27:$B$67)</f>
        <v>79444533</v>
      </c>
      <c r="Y49" s="25" t="s">
        <v>35</v>
      </c>
      <c r="Z49" s="26">
        <v>1032499959</v>
      </c>
      <c r="AA49" s="27" t="str" cm="1">
        <f t="array" ref="AA49">IF(Y49&lt;&gt;"NIT","N/A",IF(OR(Z49="",Z49="N/A"),"N/A",IF(ISERROR(VALUE(IF(ISNUMBER(FIND("-",TEXT(Z49,"@"))),LEFT(TEXT(Z49,"@"),FIND("-",TEXT(Z49,"@"))-1),TEXT(Z49,"@")))),"N/A",IF(MOD(SUMPRODUCT(VALUE(MID(TEXT(VALUE(IF(ISNUMBER(FIND("-",TEXT(Z49,"@"))),LEFT(TEXT(Z49,"@"),FIND("-",TEXT(Z49,"@"))-1),TEXT(Z49,"@"))),"000000000000000"),{15,14,13,12,11,10,9,8,7,6,5,4,3,2,1},1)),{3,7,13,17,19,23,29,37,41,43,47,53,59,67,71}),11)=0,0,IF(MOD(SUMPRODUCT(VALUE(MID(TEXT(VALUE(IF(ISNUMBER(FIND("-",TEXT(Z49,"@"))),LEFT(TEXT(Z49,"@"),FIND("-",TEXT(Z49,"@"))-1),TEXT(Z49,"@"))),"000000000000000"),{15,14,13,12,11,10,9,8,7,6,5,4,3,2,1},1)),{3,7,13,17,19,23,29,37,41,43,47,53,59,67,71}),11)=1,1,11-MOD(SUMPRODUCT(VALUE(MID(TEXT(VALUE(IF(ISNUMBER(FIND("-",TEXT(Z49,"@"))),LEFT(TEXT(Z49,"@"),FIND("-",TEXT(Z49,"@"))-1),TEXT(Z49,"@"))),"000000000000000"),{15,14,13,12,11,10,9,8,7,6,5,4,3,2,1},1)),{3,7,13,17,19,23,29,37,41,43,47,53,59,67,71}),11))))))</f>
        <v>N/A</v>
      </c>
      <c r="AB49" s="27">
        <v>81111806</v>
      </c>
      <c r="AC49" s="29" t="str">
        <f>[1]Contratos!Z49</f>
        <v>SI</v>
      </c>
      <c r="AD49" s="30">
        <f t="shared" si="3"/>
        <v>310</v>
      </c>
      <c r="AE49" s="31" t="s">
        <v>37</v>
      </c>
      <c r="AF49" s="31" t="str" cm="1">
        <f t="array" ref="AF49">IF(AG49="","",IFERROR(_xlfn.LET(_xlpm.x,INDEX([1]RP!$Z$2:$Z$706,MATCH(AG49&amp;"",[1]RP!$A$2:$A$706&amp;"",0)),IF(_xlpm.x="","",_xlpm.x)),""))</f>
        <v>6826</v>
      </c>
      <c r="AG49" s="31" cm="1">
        <f t="array" ref="AG49">IF(A49="","",IFERROR(_xlfn.LET(_xlpm.rp,[1]RP!$A$2:$A$706,_xlpm.dt,IFERROR(DATE(--LEFT([1]RP!$B$2:$B$706,4),--MID([1]RP!$B$2:$B$706,6,2),--MID([1]RP!$B$2:$B$706,9,2)),0),_xlpm.qid,UPPER(SUBSTITUTE(SUBSTITUTE(SUBSTITUTE(SUBSTITUTE([1]RP!$Q$2:$Q$706,".",""),"-","")," ",""),"O","0")),_xlpm.eid,UPPER(SUBSTITUTE(SUBSTITUTE(SUBSTITUTE(SUBSTITUTE(Z49,".",""),"-","")," ",""),"O","0")),_xlpm.qnm,UPPER(SUBSTITUTE(SUBSTITUTE(SUBSTITUTE(SUBSTITUTE(SUBSTITUTE([1]RP!$R$2:$R$706,".",""),"-","")," ",""),"Á","A"),"É","E")),_xlpm.enm,UPPER(SUBSTITUTE(SUBSTITUTE(SUBSTITUTE(SUBSTITUTE(SUBSTITUTE(B49,".",""),"-",""),"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49,"CONTRATO ")," DE")&amp;"/2026",_xlpm.dm,--ISNUMBER(SEARCH(_xlpm.num,_xlpm.sup)),_xlpm.dif,IF(_xlpm.ok,(1-_xlpm.dm)*1000000+IF(AND(ISNUMBER(M49),M49&gt;0),ABS(_xlpm.dt-M49),0),1E+99),_xlpm.md,MIN(_xlpm.dif),INDEX(_xlfn._xlws.FILTER(_xlpm.rp,(_xlpm.ok&gt;0)*(_xlpm.dif=_xlpm.md)),1)),""))</f>
        <v>6726</v>
      </c>
      <c r="AH49" s="32" cm="1">
        <f t="array" ref="AH49">IF(AF49="","",IFERROR(_xlfn.LET(_xlpm.x,INDEX([1]CDP!$B$2:$B$322,MATCH(AF49&amp;"",[1]CDP!$A$2:$A$322&amp;"",0)),IF(ISNUMBER(_xlpm.x),_xlpm.x,DATE(--LEFT(_xlpm.x,4),--MID(_xlpm.x,6,2),--MID(_xlpm.x,9,2)))),""))</f>
        <v>46037</v>
      </c>
    </row>
    <row r="50" spans="1:34" ht="61.5" customHeight="1" x14ac:dyDescent="0.35">
      <c r="A50" s="1" t="str">
        <f>[1]Contratos!A50</f>
        <v>CONTRATO 49 DE 2026</v>
      </c>
      <c r="B50" s="10" t="str">
        <f>[1]Contratos!B50</f>
        <v>DARLY DÍAZ LATORRE</v>
      </c>
      <c r="C50" s="10" t="str">
        <f>[1]Contratos!E50</f>
        <v>Prestación de servicios profesionales o Apoyo a la gestión</v>
      </c>
      <c r="D50" s="10" t="s">
        <v>104</v>
      </c>
      <c r="E50" s="11" t="str">
        <f>[1]Contratos!F50</f>
        <v>Brindar apoyo profesional para observar, analizar y evaluar contenidos audiovisuales con el fin de generar informes y reportes sobre el cumplimiento de los lineamientos legales y reglamentarios de dichos contenidos respecto del pluralismo e imparcialidad informativos, en el marco de los proyectos contemplados dentro de la Agenda Regulatoria y el Plan de Acción 2026.</v>
      </c>
      <c r="F50" s="12">
        <v>40000000</v>
      </c>
      <c r="G50" s="13">
        <f>[1]Contratos!G50</f>
        <v>40000000</v>
      </c>
      <c r="H50" s="14" t="str">
        <f>IFERROR(VLOOKUP(A50, [1]Otrosí!A:F, 6, FALSE), "0")</f>
        <v>0</v>
      </c>
      <c r="I50" s="13">
        <f t="shared" si="0"/>
        <v>40000000</v>
      </c>
      <c r="J50" s="15">
        <f>IFERROR(_xlfn.LET(_xlpm.x,_xlfn.LET(_xlpm.n,--_xlfn.TEXTBEFORE(_xlfn.TEXTAFTER(A50,"CONTRATO ")," DE"),_xlpm.c,"CONTRATO "&amp;TEXT(_xlpm.n,"00")&amp;" DE 2026",_xlpm.h,'[1]SECOP II'!$A$1:$CQ$1,_xlpm.d,'[1]SECOP II'!$A$2:$CQ$94,_xlpm.r,INDEX(_xlpm.d,0,MATCH("Referencia del Contrato",_xlpm.h,0)),INDEX(_xlpm.d,MATCH(_xlpm.c,_xlpm.r,0),MATCH("Valor Pagado",_xlpm.h,0))),_xlfn.NUMBERVALUE(SUBSTITUTE(_xlpm.x,"$",""),".",",")),"")</f>
        <v>32000000</v>
      </c>
      <c r="K50" s="16">
        <f t="shared" si="1"/>
        <v>8000000</v>
      </c>
      <c r="L50" s="17">
        <f t="shared" si="2"/>
        <v>0.8</v>
      </c>
      <c r="M50" s="18">
        <f>[1]Contratos!O50</f>
        <v>46041</v>
      </c>
      <c r="N50" s="18">
        <f>[1]Contratos!P50</f>
        <v>46048</v>
      </c>
      <c r="O50" s="18">
        <f>[1]Contratos!Q50</f>
        <v>46352</v>
      </c>
      <c r="P50" s="18" t="str">
        <f>IFERROR(VLOOKUP(A50, [1]Otrosí!A:L, 7, FALSE), "N/A")</f>
        <v>N/A</v>
      </c>
      <c r="Q50" s="19" t="str">
        <f>IFERROR(_xlfn.LET(_xlpm.h,'[1]SECOP II'!$A$1:$CQ$1,_xlpm.d,'[1]SECOP II'!$A$2:$CQ$94,_xlpm.r,INDEX(_xlpm.d,0,MATCH("Referencia del Contrato",_xlpm.h,0)),INDEX(_xlpm.d,MATCH("CONTRATO 49 DE 2026",_xlpm.r,0),MATCH("Tipo de Contrato",_xlpm.h,0))),"")</f>
        <v>Prestación de servicios</v>
      </c>
      <c r="R50" s="20" t="str">
        <f>IFERROR(_xlfn.LET(_xlpm.n,--_xlfn.TEXTBEFORE(_xlfn.TEXTAFTER(A50,"CONTRATO ")," DE"),_xlpm.c,"CONTRATO "&amp;TEXT(_xlpm.n,"00")&amp;" DE 2026",_xlpm.h,'[1]SECOP II'!$A$1:$CQ$1,_xlpm.d,'[1]SECOP II'!$A$2:$CQ$94,_xlpm.r,INDEX(_xlpm.d,0,MATCH("Referencia del Contrato",_xlpm.h,0)),INDEX(_xlpm.d,MATCH(_xlpm.c,_xlpm.r,0),MATCH("Destino Gasto",_xlpm.h,0))),"")</f>
        <v>Inversión</v>
      </c>
      <c r="S50" s="21" t="str">
        <f>IFERROR(_xlfn.LET(_xlpm.n,--_xlfn.TEXTBEFORE(_xlfn.TEXTAFTER(A50,"CONTRATO ")," DE"),_xlpm.c,"CONTRATO "&amp;TEXT(_xlpm.n,"00")&amp;" DE 2026",_xlpm.h,'[1]SECOP II'!$A$1:$CQ$1,_xlpm.d,'[1]SECOP II'!$A$2:$CQ$94,_xlpm.r,INDEX(_xlpm.d,0,MATCH("Referencia del Contrato",_xlpm.h,0)),INDEX(_xlpm.d,MATCH(_xlpm.c,_xlpm.r,0),MATCH("URLProceso",_xlpm.h,0))),"")</f>
        <v>https://community.secop.gov.co/Public/Tendering/OpportunityDetail/Index?noticeUID=CO1.NTC.9608631&amp;isFromPublicArea=True&amp;isModal=true&amp;asPopupView=true</v>
      </c>
      <c r="T50" s="22" t="str">
        <f>IFERROR(_xlfn.LET(_xlpm.h,'[1]SECOP II'!$A$1:$CQ$1,_xlpm.d,'[1]SECOP II'!$A$2:$CQ$94,_xlpm.r,INDEX(_xlpm.d,0,MATCH("Referencia del Contrato",_xlpm.h,0)),INDEX(_xlpm.d,MATCH("CONTRATO 49 DE 2026",_xlpm.r,0),MATCH("Estado Contrato",_xlpm.h,0))),"")</f>
        <v>En ejecución</v>
      </c>
      <c r="U50" s="10" t="str">
        <f>[1]Contratos!C50</f>
        <v>PN</v>
      </c>
      <c r="V50" s="10" t="str">
        <f>[1]Contratos!I50</f>
        <v>PEDAGOGÍA REGULATORIA</v>
      </c>
      <c r="W50" s="23" t="str">
        <f>[1]Contratos!J50</f>
        <v>RICARDO RAMÍREZ</v>
      </c>
      <c r="X50" s="24" cm="1">
        <f t="array" ref="X50">IFERROR(VLOOKUP(W50,[1]COORD!$A$27:$B$67, 2, FALSE),[1]COORD!$B$27:$B$67)</f>
        <v>79444533</v>
      </c>
      <c r="Y50" s="25" t="s">
        <v>35</v>
      </c>
      <c r="Z50" s="26">
        <v>1016064963</v>
      </c>
      <c r="AA50" s="27" t="str" cm="1">
        <f t="array" ref="AA50">IF(Y50&lt;&gt;"NIT","N/A",IF(OR(Z50="",Z50="N/A"),"N/A",IF(ISERROR(VALUE(IF(ISNUMBER(FIND("-",TEXT(Z50,"@"))),LEFT(TEXT(Z50,"@"),FIND("-",TEXT(Z50,"@"))-1),TEXT(Z50,"@")))),"N/A",IF(MOD(SUMPRODUCT(VALUE(MID(TEXT(VALUE(IF(ISNUMBER(FIND("-",TEXT(Z50,"@"))),LEFT(TEXT(Z50,"@"),FIND("-",TEXT(Z50,"@"))-1),TEXT(Z50,"@"))),"000000000000000"),{15,14,13,12,11,10,9,8,7,6,5,4,3,2,1},1)),{3,7,13,17,19,23,29,37,41,43,47,53,59,67,71}),11)=0,0,IF(MOD(SUMPRODUCT(VALUE(MID(TEXT(VALUE(IF(ISNUMBER(FIND("-",TEXT(Z50,"@"))),LEFT(TEXT(Z50,"@"),FIND("-",TEXT(Z50,"@"))-1),TEXT(Z50,"@"))),"000000000000000"),{15,14,13,12,11,10,9,8,7,6,5,4,3,2,1},1)),{3,7,13,17,19,23,29,37,41,43,47,53,59,67,71}),11)=1,1,11-MOD(SUMPRODUCT(VALUE(MID(TEXT(VALUE(IF(ISNUMBER(FIND("-",TEXT(Z50,"@"))),LEFT(TEXT(Z50,"@"),FIND("-",TEXT(Z50,"@"))-1),TEXT(Z50,"@"))),"000000000000000"),{15,14,13,12,11,10,9,8,7,6,5,4,3,2,1},1)),{3,7,13,17,19,23,29,37,41,43,47,53,59,67,71}),11))))))</f>
        <v>N/A</v>
      </c>
      <c r="AB50" s="27">
        <v>81111806</v>
      </c>
      <c r="AC50" s="29" t="str">
        <f>[1]Contratos!Z50</f>
        <v>NO</v>
      </c>
      <c r="AD50" s="30">
        <f t="shared" si="3"/>
        <v>311</v>
      </c>
      <c r="AE50" s="31" t="s">
        <v>37</v>
      </c>
      <c r="AF50" s="31" t="str" cm="1">
        <f t="array" ref="AF50">IF(AG50="","",IFERROR(_xlfn.LET(_xlpm.x,INDEX([1]RP!$Z$2:$Z$706,MATCH(AG50&amp;"",[1]RP!$A$2:$A$706&amp;"",0)),IF(_xlpm.x="","",_xlpm.x)),""))</f>
        <v>7026</v>
      </c>
      <c r="AG50" s="31" cm="1">
        <f t="array" ref="AG50">IF(A50="","",IFERROR(_xlfn.LET(_xlpm.rp,[1]RP!$A$2:$A$706,_xlpm.dt,IFERROR(DATE(--LEFT([1]RP!$B$2:$B$706,4),--MID([1]RP!$B$2:$B$706,6,2),--MID([1]RP!$B$2:$B$706,9,2)),0),_xlpm.qid,UPPER(SUBSTITUTE(SUBSTITUTE(SUBSTITUTE(SUBSTITUTE([1]RP!$Q$2:$Q$706,".",""),"-","")," ",""),"O","0")),_xlpm.eid,UPPER(SUBSTITUTE(SUBSTITUTE(SUBSTITUTE(SUBSTITUTE(Z50,".",""),"-","")," ",""),"O","0")),_xlpm.qnm,UPPER(SUBSTITUTE(SUBSTITUTE(SUBSTITUTE(SUBSTITUTE(SUBSTITUTE([1]RP!$R$2:$R$706,".",""),"-","")," ",""),"Á","A"),"É","E")),_xlpm.enm,UPPER(SUBSTITUTE(SUBSTITUTE(SUBSTITUTE(SUBSTITUTE(SUBSTITUTE(B50,".",""),"-",""),"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50,"CONTRATO ")," DE")&amp;"/2026",_xlpm.dm,--ISNUMBER(SEARCH(_xlpm.num,_xlpm.sup)),_xlpm.dif,IF(_xlpm.ok,(1-_xlpm.dm)*1000000+IF(AND(ISNUMBER(M50),M50&gt;0),ABS(_xlpm.dt-M50),0),1E+99),_xlpm.md,MIN(_xlpm.dif),INDEX(_xlfn._xlws.FILTER(_xlpm.rp,(_xlpm.ok&gt;0)*(_xlpm.dif=_xlpm.md)),1)),""))</f>
        <v>6626</v>
      </c>
      <c r="AH50" s="32" cm="1">
        <f t="array" ref="AH50">IF(AF50="","",IFERROR(_xlfn.LET(_xlpm.x,INDEX([1]CDP!$B$2:$B$322,MATCH(AF50&amp;"",[1]CDP!$A$2:$A$322&amp;"",0)),IF(ISNUMBER(_xlpm.x),_xlpm.x,DATE(--LEFT(_xlpm.x,4),--MID(_xlpm.x,6,2),--MID(_xlpm.x,9,2)))),""))</f>
        <v>46037</v>
      </c>
    </row>
    <row r="51" spans="1:34" ht="61.5" customHeight="1" x14ac:dyDescent="0.35">
      <c r="A51" s="1" t="str">
        <f>[1]Contratos!A51</f>
        <v>CONTRATO 50 DE 2026</v>
      </c>
      <c r="B51" s="10" t="str">
        <f>[1]Contratos!B51</f>
        <v>FABIO ARIAS</v>
      </c>
      <c r="C51" s="10" t="str">
        <f>[1]Contratos!E51</f>
        <v>Prestación de servicios profesionales o Apoyo a la gestión</v>
      </c>
      <c r="D51" s="10" t="s">
        <v>105</v>
      </c>
      <c r="E51" s="11" t="str">
        <f>[1]Contratos!F51</f>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relacionados con la automatización y gestión de los Datos relacionados con los servicios de telecomunicaciones, postales y de contenidos audiovisuales.</v>
      </c>
      <c r="F51" s="12">
        <v>150244670</v>
      </c>
      <c r="G51" s="13">
        <f>[1]Contratos!G51</f>
        <v>150244670</v>
      </c>
      <c r="H51" s="14" t="str">
        <f>IFERROR(VLOOKUP(A51, [1]Otrosí!A:F, 6, FALSE), "0")</f>
        <v>0</v>
      </c>
      <c r="I51" s="13">
        <f t="shared" si="0"/>
        <v>150244670</v>
      </c>
      <c r="J51" s="15">
        <f>IFERROR(_xlfn.LET(_xlpm.x,_xlfn.LET(_xlpm.n,--_xlfn.TEXTBEFORE(_xlfn.TEXTAFTER(A51,"CONTRATO ")," DE"),_xlpm.c,"CONTRATO "&amp;TEXT(_xlpm.n,"00")&amp;" DE 2026",_xlpm.h,'[1]SECOP II'!$A$1:$CQ$1,_xlpm.d,'[1]SECOP II'!$A$2:$CQ$94,_xlpm.r,INDEX(_xlpm.d,0,MATCH("Referencia del Contrato",_xlpm.h,0)),INDEX(_xlpm.d,MATCH(_xlpm.c,_xlpm.r,0),MATCH("Valor Pagado",_xlpm.h,0))),_xlfn.NUMBERVALUE(SUBSTITUTE(_xlpm.x,"$",""),".",",")),"")</f>
        <v>108813571</v>
      </c>
      <c r="K51" s="16">
        <f t="shared" si="1"/>
        <v>41431099</v>
      </c>
      <c r="L51" s="17">
        <f t="shared" si="2"/>
        <v>0.72424247063140412</v>
      </c>
      <c r="M51" s="18">
        <f>[1]Contratos!O51</f>
        <v>46042</v>
      </c>
      <c r="N51" s="18">
        <f>[1]Contratos!P51</f>
        <v>46055</v>
      </c>
      <c r="O51" s="18">
        <f>[1]Contratos!Q51</f>
        <v>46387</v>
      </c>
      <c r="P51" s="18" t="str">
        <f>IFERROR(VLOOKUP(A51, [1]Otrosí!A:L, 7, FALSE), "N/A")</f>
        <v>N/A</v>
      </c>
      <c r="Q51" s="19" t="str">
        <f>IFERROR(_xlfn.LET(_xlpm.h,'[1]SECOP II'!$A$1:$CQ$1,_xlpm.d,'[1]SECOP II'!$A$2:$CQ$94,_xlpm.r,INDEX(_xlpm.d,0,MATCH("Referencia del Contrato",_xlpm.h,0)),INDEX(_xlpm.d,MATCH("CONTRATO 50 DE 2026",_xlpm.r,0),MATCH("Tipo de Contrato",_xlpm.h,0))),"")</f>
        <v>Prestación de servicios</v>
      </c>
      <c r="R51" s="20" t="str">
        <f>IFERROR(_xlfn.LET(_xlpm.n,--_xlfn.TEXTBEFORE(_xlfn.TEXTAFTER(A51,"CONTRATO ")," DE"),_xlpm.c,"CONTRATO "&amp;TEXT(_xlpm.n,"00")&amp;" DE 2026",_xlpm.h,'[1]SECOP II'!$A$1:$CQ$1,_xlpm.d,'[1]SECOP II'!$A$2:$CQ$94,_xlpm.r,INDEX(_xlpm.d,0,MATCH("Referencia del Contrato",_xlpm.h,0)),INDEX(_xlpm.d,MATCH(_xlpm.c,_xlpm.r,0),MATCH("Destino Gasto",_xlpm.h,0))),"")</f>
        <v>Inversión</v>
      </c>
      <c r="S51" s="21" t="str">
        <f>IFERROR(_xlfn.LET(_xlpm.n,--_xlfn.TEXTBEFORE(_xlfn.TEXTAFTER(A51,"CONTRATO ")," DE"),_xlpm.c,"CONTRATO "&amp;TEXT(_xlpm.n,"00")&amp;" DE 2026",_xlpm.h,'[1]SECOP II'!$A$1:$CQ$1,_xlpm.d,'[1]SECOP II'!$A$2:$CQ$94,_xlpm.r,INDEX(_xlpm.d,0,MATCH("Referencia del Contrato",_xlpm.h,0)),INDEX(_xlpm.d,MATCH(_xlpm.c,_xlpm.r,0),MATCH("URLProceso",_xlpm.h,0))),"")</f>
        <v>https://community.secop.gov.co/Public/Tendering/OpportunityDetail/Index?noticeUID=CO1.NTC.9608633&amp;isFromPublicArea=True&amp;isModal=true&amp;asPopupView=true</v>
      </c>
      <c r="T51" s="22" t="str">
        <f>IFERROR(_xlfn.LET(_xlpm.h,'[1]SECOP II'!$A$1:$CQ$1,_xlpm.d,'[1]SECOP II'!$A$2:$CQ$94,_xlpm.r,INDEX(_xlpm.d,0,MATCH("Referencia del Contrato",_xlpm.h,0)),INDEX(_xlpm.d,MATCH("CONTRATO 50 DE 2026",_xlpm.r,0),MATCH("Estado Contrato",_xlpm.h,0))),"")</f>
        <v>En ejecución</v>
      </c>
      <c r="U51" s="10" t="str">
        <f>[1]Contratos!C51</f>
        <v>PN</v>
      </c>
      <c r="V51" s="10" t="str">
        <f>[1]Contratos!I51</f>
        <v>TECNOLOGÍAS Y SIST. DE INF.</v>
      </c>
      <c r="W51" s="23" t="str">
        <f>[1]Contratos!J51</f>
        <v>INGRID PICÓN</v>
      </c>
      <c r="X51" s="24" cm="1">
        <f t="array" ref="X51">IFERROR(VLOOKUP(W51,[1]COORD!$A$27:$B$67, 2, FALSE),[1]COORD!$B$27:$B$67)</f>
        <v>60372503</v>
      </c>
      <c r="Y51" s="25" t="s">
        <v>35</v>
      </c>
      <c r="Z51" s="26">
        <v>88249423</v>
      </c>
      <c r="AA51" s="27" t="str" cm="1">
        <f t="array" ref="AA51">IF(Y51&lt;&gt;"NIT","N/A",IF(OR(Z51="",Z51="N/A"),"N/A",IF(ISERROR(VALUE(IF(ISNUMBER(FIND("-",TEXT(Z51,"@"))),LEFT(TEXT(Z51,"@"),FIND("-",TEXT(Z51,"@"))-1),TEXT(Z51,"@")))),"N/A",IF(MOD(SUMPRODUCT(VALUE(MID(TEXT(VALUE(IF(ISNUMBER(FIND("-",TEXT(Z51,"@"))),LEFT(TEXT(Z51,"@"),FIND("-",TEXT(Z51,"@"))-1),TEXT(Z51,"@"))),"000000000000000"),{15,14,13,12,11,10,9,8,7,6,5,4,3,2,1},1)),{3,7,13,17,19,23,29,37,41,43,47,53,59,67,71}),11)=0,0,IF(MOD(SUMPRODUCT(VALUE(MID(TEXT(VALUE(IF(ISNUMBER(FIND("-",TEXT(Z51,"@"))),LEFT(TEXT(Z51,"@"),FIND("-",TEXT(Z51,"@"))-1),TEXT(Z51,"@"))),"000000000000000"),{15,14,13,12,11,10,9,8,7,6,5,4,3,2,1},1)),{3,7,13,17,19,23,29,37,41,43,47,53,59,67,71}),11)=1,1,11-MOD(SUMPRODUCT(VALUE(MID(TEXT(VALUE(IF(ISNUMBER(FIND("-",TEXT(Z51,"@"))),LEFT(TEXT(Z51,"@"),FIND("-",TEXT(Z51,"@"))-1),TEXT(Z51,"@"))),"000000000000000"),{15,14,13,12,11,10,9,8,7,6,5,4,3,2,1},1)),{3,7,13,17,19,23,29,37,41,43,47,53,59,67,71}),11))))))</f>
        <v>N/A</v>
      </c>
      <c r="AB51" s="27">
        <v>81111507</v>
      </c>
      <c r="AC51" s="29" t="str">
        <f>[1]Contratos!Z51</f>
        <v>N/A</v>
      </c>
      <c r="AD51" s="30">
        <f t="shared" si="3"/>
        <v>345</v>
      </c>
      <c r="AE51" s="31" t="s">
        <v>58</v>
      </c>
      <c r="AF51" s="31" t="str" cm="1">
        <f t="array" ref="AF51">IF(AG51="","",IFERROR(_xlfn.LET(_xlpm.x,INDEX([1]RP!$Z$2:$Z$706,MATCH(AG51&amp;"",[1]RP!$A$2:$A$706&amp;"",0)),IF(_xlpm.x="","",_xlpm.x)),""))</f>
        <v>6926</v>
      </c>
      <c r="AG51" s="31" cm="1">
        <f t="array" ref="AG51">IF(A51="","",IFERROR(_xlfn.LET(_xlpm.rp,[1]RP!$A$2:$A$706,_xlpm.dt,IFERROR(DATE(--LEFT([1]RP!$B$2:$B$706,4),--MID([1]RP!$B$2:$B$706,6,2),--MID([1]RP!$B$2:$B$706,9,2)),0),_xlpm.qid,UPPER(SUBSTITUTE(SUBSTITUTE(SUBSTITUTE(SUBSTITUTE([1]RP!$Q$2:$Q$706,".",""),"-","")," ",""),"O","0")),_xlpm.eid,UPPER(SUBSTITUTE(SUBSTITUTE(SUBSTITUTE(SUBSTITUTE(Z51,".",""),"-","")," ",""),"O","0")),_xlpm.qnm,UPPER(SUBSTITUTE(SUBSTITUTE(SUBSTITUTE(SUBSTITUTE(SUBSTITUTE([1]RP!$R$2:$R$706,".",""),"-","")," ",""),"Á","A"),"É","E")),_xlpm.enm,UPPER(SUBSTITUTE(SUBSTITUTE(SUBSTITUTE(SUBSTITUTE(SUBSTITUTE(B51,".",""),"-",""),"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51,"CONTRATO ")," DE")&amp;"/2026",_xlpm.dm,--ISNUMBER(SEARCH(_xlpm.num,_xlpm.sup)),_xlpm.dif,IF(_xlpm.ok,(1-_xlpm.dm)*1000000+IF(AND(ISNUMBER(M51),M51&gt;0),ABS(_xlpm.dt-M51),0),1E+99),_xlpm.md,MIN(_xlpm.dif),INDEX(_xlfn._xlws.FILTER(_xlpm.rp,(_xlpm.ok&gt;0)*(_xlpm.dif=_xlpm.md)),1)),""))</f>
        <v>7826</v>
      </c>
      <c r="AH51" s="32" cm="1">
        <f t="array" ref="AH51">IF(AF51="","",IFERROR(_xlfn.LET(_xlpm.x,INDEX([1]CDP!$B$2:$B$322,MATCH(AF51&amp;"",[1]CDP!$A$2:$A$322&amp;"",0)),IF(ISNUMBER(_xlpm.x),_xlpm.x,DATE(--LEFT(_xlpm.x,4),--MID(_xlpm.x,6,2),--MID(_xlpm.x,9,2)))),""))</f>
        <v>46037</v>
      </c>
    </row>
    <row r="52" spans="1:34" ht="61.5" customHeight="1" x14ac:dyDescent="0.35">
      <c r="A52" s="1" t="str">
        <f>[1]Contratos!A52</f>
        <v>CONTRATO 51 DE 2026</v>
      </c>
      <c r="B52" s="10" t="str">
        <f>[1]Contratos!B52</f>
        <v>VICTORIA CLAVIJO</v>
      </c>
      <c r="C52" s="10" t="str">
        <f>[1]Contratos!E52</f>
        <v>Prestación de servicios profesionales o Apoyo a la gestión</v>
      </c>
      <c r="D52" s="10" t="s">
        <v>106</v>
      </c>
      <c r="E52" s="11" t="str">
        <f>[1]Contratos!F52</f>
        <v>Prestar los servicios profesionales especializados como Ingeniero Senior, brindando el apoyo en la gestión y acompañamiento técnico para la planeación, estimación, diseño, desarrollo, despliegue y gestión de acuerdo con el ciclo de vida del desarrollo de software establecido por la entidad, para los proyectos tecnológicos y sistemas de información que hacen parte del Plan Estratégico de Tecnologías e Información (PETI) 2026 relacionados con la automatización y gestión de los Datos relacionados con los servicios de telecomunicaciones, postales y de contenidos audiovisuales.</v>
      </c>
      <c r="F52" s="12">
        <v>150244670</v>
      </c>
      <c r="G52" s="13">
        <f>[1]Contratos!G52</f>
        <v>150244670</v>
      </c>
      <c r="H52" s="14" t="str">
        <f>IFERROR(VLOOKUP(A52, [1]Otrosí!A:F, 6, FALSE), "0")</f>
        <v>0</v>
      </c>
      <c r="I52" s="13">
        <f t="shared" si="0"/>
        <v>150244670</v>
      </c>
      <c r="J52" s="15">
        <f>IFERROR(_xlfn.LET(_xlpm.x,_xlfn.LET(_xlpm.n,--_xlfn.TEXTBEFORE(_xlfn.TEXTAFTER(A52,"CONTRATO ")," DE"),_xlpm.c,"CONTRATO "&amp;TEXT(_xlpm.n,"00")&amp;" DE 2026",_xlpm.h,'[1]SECOP II'!$A$1:$CQ$1,_xlpm.d,'[1]SECOP II'!$A$2:$CQ$94,_xlpm.r,INDEX(_xlpm.d,0,MATCH("Referencia del Contrato",_xlpm.h,0)),INDEX(_xlpm.d,MATCH(_xlpm.c,_xlpm.r,0),MATCH("Valor Pagado",_xlpm.h,0))),_xlfn.NUMBERVALUE(SUBSTITUTE(_xlpm.x,"$",""),".",",")),"")</f>
        <v>108813575</v>
      </c>
      <c r="K52" s="16">
        <f t="shared" si="1"/>
        <v>41431095</v>
      </c>
      <c r="L52" s="17">
        <f t="shared" si="2"/>
        <v>0.72424249725464473</v>
      </c>
      <c r="M52" s="18">
        <f>[1]Contratos!O52</f>
        <v>46043</v>
      </c>
      <c r="N52" s="18">
        <f>[1]Contratos!P52</f>
        <v>46055</v>
      </c>
      <c r="O52" s="18">
        <f>[1]Contratos!Q52</f>
        <v>46387</v>
      </c>
      <c r="P52" s="18" t="str">
        <f>IFERROR(VLOOKUP(A52, [1]Otrosí!A:L, 7, FALSE), "N/A")</f>
        <v>N/A</v>
      </c>
      <c r="Q52" s="19" t="str">
        <f>IFERROR(_xlfn.LET(_xlpm.h,'[1]SECOP II'!$A$1:$CQ$1,_xlpm.d,'[1]SECOP II'!$A$2:$CQ$94,_xlpm.r,INDEX(_xlpm.d,0,MATCH("Referencia del Contrato",_xlpm.h,0)),INDEX(_xlpm.d,MATCH("CONTRATO 51 DE 2026",_xlpm.r,0),MATCH("Tipo de Contrato",_xlpm.h,0))),"")</f>
        <v>Prestación de servicios</v>
      </c>
      <c r="R52" s="20" t="str">
        <f>IFERROR(_xlfn.LET(_xlpm.n,--_xlfn.TEXTBEFORE(_xlfn.TEXTAFTER(A52,"CONTRATO ")," DE"),_xlpm.c,"CONTRATO "&amp;TEXT(_xlpm.n,"00")&amp;" DE 2026",_xlpm.h,'[1]SECOP II'!$A$1:$CQ$1,_xlpm.d,'[1]SECOP II'!$A$2:$CQ$94,_xlpm.r,INDEX(_xlpm.d,0,MATCH("Referencia del Contrato",_xlpm.h,0)),INDEX(_xlpm.d,MATCH(_xlpm.c,_xlpm.r,0),MATCH("Destino Gasto",_xlpm.h,0))),"")</f>
        <v>Inversión</v>
      </c>
      <c r="S52" s="21" t="str">
        <f>IFERROR(_xlfn.LET(_xlpm.n,--_xlfn.TEXTBEFORE(_xlfn.TEXTAFTER(A52,"CONTRATO ")," DE"),_xlpm.c,"CONTRATO "&amp;TEXT(_xlpm.n,"00")&amp;" DE 2026",_xlpm.h,'[1]SECOP II'!$A$1:$CQ$1,_xlpm.d,'[1]SECOP II'!$A$2:$CQ$94,_xlpm.r,INDEX(_xlpm.d,0,MATCH("Referencia del Contrato",_xlpm.h,0)),INDEX(_xlpm.d,MATCH(_xlpm.c,_xlpm.r,0),MATCH("URLProceso",_xlpm.h,0))),"")</f>
        <v>https://community.secop.gov.co/Public/Tendering/OpportunityDetail/Index?noticeUID=CO1.NTC.9635314&amp;isFromPublicArea=True&amp;isModal=true&amp;asPopupView=true</v>
      </c>
      <c r="T52" s="22" t="str">
        <f>IFERROR(_xlfn.LET(_xlpm.h,'[1]SECOP II'!$A$1:$CQ$1,_xlpm.d,'[1]SECOP II'!$A$2:$CQ$94,_xlpm.r,INDEX(_xlpm.d,0,MATCH("Referencia del Contrato",_xlpm.h,0)),INDEX(_xlpm.d,MATCH("CONTRATO 51 DE 2026",_xlpm.r,0),MATCH("Estado Contrato",_xlpm.h,0))),"")</f>
        <v>En ejecución</v>
      </c>
      <c r="U52" s="10" t="str">
        <f>[1]Contratos!C52</f>
        <v>PN</v>
      </c>
      <c r="V52" s="10" t="str">
        <f>[1]Contratos!I52</f>
        <v>TECNOLOGÍAS Y SIST. DE INF.</v>
      </c>
      <c r="W52" s="23" t="str">
        <f>[1]Contratos!J52</f>
        <v>INGRID PICÓN</v>
      </c>
      <c r="X52" s="24" cm="1">
        <f t="array" ref="X52">IFERROR(VLOOKUP(W52,[1]COORD!$A$27:$B$67, 2, FALSE),[1]COORD!$B$27:$B$67)</f>
        <v>60372503</v>
      </c>
      <c r="Y52" s="25" t="s">
        <v>35</v>
      </c>
      <c r="Z52" s="26">
        <v>52902964</v>
      </c>
      <c r="AA52" s="27" t="str" cm="1">
        <f t="array" ref="AA52">IF(Y52&lt;&gt;"NIT","N/A",IF(OR(Z52="",Z52="N/A"),"N/A",IF(ISERROR(VALUE(IF(ISNUMBER(FIND("-",TEXT(Z52,"@"))),LEFT(TEXT(Z52,"@"),FIND("-",TEXT(Z52,"@"))-1),TEXT(Z52,"@")))),"N/A",IF(MOD(SUMPRODUCT(VALUE(MID(TEXT(VALUE(IF(ISNUMBER(FIND("-",TEXT(Z52,"@"))),LEFT(TEXT(Z52,"@"),FIND("-",TEXT(Z52,"@"))-1),TEXT(Z52,"@"))),"000000000000000"),{15,14,13,12,11,10,9,8,7,6,5,4,3,2,1},1)),{3,7,13,17,19,23,29,37,41,43,47,53,59,67,71}),11)=0,0,IF(MOD(SUMPRODUCT(VALUE(MID(TEXT(VALUE(IF(ISNUMBER(FIND("-",TEXT(Z52,"@"))),LEFT(TEXT(Z52,"@"),FIND("-",TEXT(Z52,"@"))-1),TEXT(Z52,"@"))),"000000000000000"),{15,14,13,12,11,10,9,8,7,6,5,4,3,2,1},1)),{3,7,13,17,19,23,29,37,41,43,47,53,59,67,71}),11)=1,1,11-MOD(SUMPRODUCT(VALUE(MID(TEXT(VALUE(IF(ISNUMBER(FIND("-",TEXT(Z52,"@"))),LEFT(TEXT(Z52,"@"),FIND("-",TEXT(Z52,"@"))-1),TEXT(Z52,"@"))),"000000000000000"),{15,14,13,12,11,10,9,8,7,6,5,4,3,2,1},1)),{3,7,13,17,19,23,29,37,41,43,47,53,59,67,71}),11))))))</f>
        <v>N/A</v>
      </c>
      <c r="AB52" s="27">
        <v>81111504</v>
      </c>
      <c r="AC52" s="29" t="str">
        <f>[1]Contratos!Z52</f>
        <v>N/A</v>
      </c>
      <c r="AD52" s="30">
        <f t="shared" si="3"/>
        <v>344</v>
      </c>
      <c r="AE52" s="31" t="s">
        <v>58</v>
      </c>
      <c r="AF52" s="31" t="str" cm="1">
        <f t="array" ref="AF52">IF(AG52="","",IFERROR(_xlfn.LET(_xlpm.x,INDEX([1]RP!$Z$2:$Z$706,MATCH(AG52&amp;"",[1]RP!$A$2:$A$706&amp;"",0)),IF(_xlpm.x="","",_xlpm.x)),""))</f>
        <v>6726</v>
      </c>
      <c r="AG52" s="31" cm="1">
        <f t="array" ref="AG52">IF(A52="","",IFERROR(_xlfn.LET(_xlpm.rp,[1]RP!$A$2:$A$706,_xlpm.dt,IFERROR(DATE(--LEFT([1]RP!$B$2:$B$706,4),--MID([1]RP!$B$2:$B$706,6,2),--MID([1]RP!$B$2:$B$706,9,2)),0),_xlpm.qid,UPPER(SUBSTITUTE(SUBSTITUTE(SUBSTITUTE(SUBSTITUTE([1]RP!$Q$2:$Q$706,".",""),"-","")," ",""),"O","0")),_xlpm.eid,UPPER(SUBSTITUTE(SUBSTITUTE(SUBSTITUTE(SUBSTITUTE(Z52,".",""),"-","")," ",""),"O","0")),_xlpm.qnm,UPPER(SUBSTITUTE(SUBSTITUTE(SUBSTITUTE(SUBSTITUTE(SUBSTITUTE([1]RP!$R$2:$R$706,".",""),"-","")," ",""),"Á","A"),"É","E")),_xlpm.enm,UPPER(SUBSTITUTE(SUBSTITUTE(SUBSTITUTE(SUBSTITUTE(SUBSTITUTE(B52,".",""),"-",""),"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52,"CONTRATO ")," DE")&amp;"/2026",_xlpm.dm,--ISNUMBER(SEARCH(_xlpm.num,_xlpm.sup)),_xlpm.dif,IF(_xlpm.ok,(1-_xlpm.dm)*1000000+IF(AND(ISNUMBER(M52),M52&gt;0),ABS(_xlpm.dt-M52),0),1E+99),_xlpm.md,MIN(_xlpm.dif),INDEX(_xlfn._xlws.FILTER(_xlpm.rp,(_xlpm.ok&gt;0)*(_xlpm.dif=_xlpm.md)),1)),""))</f>
        <v>7726</v>
      </c>
      <c r="AH52" s="32" cm="1">
        <f t="array" ref="AH52">IF(AF52="","",IFERROR(_xlfn.LET(_xlpm.x,INDEX([1]CDP!$B$2:$B$322,MATCH(AF52&amp;"",[1]CDP!$A$2:$A$322&amp;"",0)),IF(ISNUMBER(_xlpm.x),_xlpm.x,DATE(--LEFT(_xlpm.x,4),--MID(_xlpm.x,6,2),--MID(_xlpm.x,9,2)))),""))</f>
        <v>46037</v>
      </c>
    </row>
    <row r="53" spans="1:34" ht="140.5" customHeight="1" x14ac:dyDescent="0.35">
      <c r="A53" s="1" t="str">
        <f>[1]Contratos!A53</f>
        <v>CONTRATO 52 DE 2026</v>
      </c>
      <c r="B53" s="10" t="str">
        <f>[1]Contratos!B53</f>
        <v>CATALINA BOTERO</v>
      </c>
      <c r="C53" s="10" t="str">
        <f>[1]Contratos!E53</f>
        <v>Prestación de servicios profesionales o Apoyo a la gestión</v>
      </c>
      <c r="D53" s="10" t="s">
        <v>107</v>
      </c>
      <c r="E53" s="11" t="str">
        <f>[1]Contratos!F53</f>
        <v> Contratar servicios profesionales altamente especializados en el ámbito del derecho constitucional, orientados a la prestación de apoyo jurídico estratégico a la Comisión de Regulación de Comunicaciones – CRC en la atención, análisis y gestión de asuntos jurídicos de alta complejidad en materia de derecho constitucional, en particular los relacionados con las competencias de la CRC en materia de pluralismo e imparcialidad informativos y la protección de derechos de niños, niñas y adolescentes en los contenidos. El servicio comprenderá la elaboración de análisis jurídicos, el acompañamiento técnico-jurídico en los procesos regulatorios requeridos y la asesoría en actuaciones administrativas que adelante la Entidad en las materias objeto del contrato, de conformidad con sus competencias y necesidades institucionales.</v>
      </c>
      <c r="F53" s="12">
        <v>120000000</v>
      </c>
      <c r="G53" s="13">
        <f>[1]Contratos!G53</f>
        <v>120000000</v>
      </c>
      <c r="H53" s="14" t="str">
        <f>IFERROR(VLOOKUP(A53, [1]Otrosí!A:F, 6, FALSE), "0")</f>
        <v>0</v>
      </c>
      <c r="I53" s="13">
        <f t="shared" si="0"/>
        <v>120000000</v>
      </c>
      <c r="J53" s="15">
        <f>IFERROR(_xlfn.LET(_xlpm.x,_xlfn.LET(_xlpm.n,--_xlfn.TEXTBEFORE(_xlfn.TEXTAFTER(A53,"CONTRATO ")," DE"),_xlpm.c,"CONTRATO "&amp;TEXT(_xlpm.n,"00")&amp;" DE 2026",_xlpm.h,'[1]SECOP II'!$A$1:$CQ$1,_xlpm.d,'[1]SECOP II'!$A$2:$CQ$94,_xlpm.r,INDEX(_xlpm.d,0,MATCH("Referencia del Contrato",_xlpm.h,0)),INDEX(_xlpm.d,MATCH(_xlpm.c,_xlpm.r,0),MATCH("Valor Pagado",_xlpm.h,0))),_xlfn.NUMBERVALUE(SUBSTITUTE(_xlpm.x,"$",""),".",",")),"")</f>
        <v>81600000</v>
      </c>
      <c r="K53" s="16">
        <f t="shared" si="1"/>
        <v>38400000</v>
      </c>
      <c r="L53" s="17">
        <f t="shared" si="2"/>
        <v>0.68</v>
      </c>
      <c r="M53" s="18">
        <f>[1]Contratos!O53</f>
        <v>46043</v>
      </c>
      <c r="N53" s="18">
        <f>[1]Contratos!P53</f>
        <v>46048</v>
      </c>
      <c r="O53" s="18">
        <f>[1]Contratos!Q53</f>
        <v>46387</v>
      </c>
      <c r="P53" s="18" t="str">
        <f>IFERROR(VLOOKUP(A53, [1]Otrosí!A:L, 7, FALSE), "N/A")</f>
        <v>N/A</v>
      </c>
      <c r="Q53" s="19" t="str">
        <f>IFERROR(_xlfn.LET(_xlpm.h,'[1]SECOP II'!$A$1:$CQ$1,_xlpm.d,'[1]SECOP II'!$A$2:$CQ$94,_xlpm.r,INDEX(_xlpm.d,0,MATCH("Referencia del Contrato",_xlpm.h,0)),INDEX(_xlpm.d,MATCH("CONTRATO 52 DE 2026",_xlpm.r,0),MATCH("Tipo de Contrato",_xlpm.h,0))),"")</f>
        <v>Prestación de servicios</v>
      </c>
      <c r="R53" s="20" t="str">
        <f>IFERROR(_xlfn.LET(_xlpm.n,--_xlfn.TEXTBEFORE(_xlfn.TEXTAFTER(A53,"CONTRATO ")," DE"),_xlpm.c,"CONTRATO "&amp;TEXT(_xlpm.n,"00")&amp;" DE 2026",_xlpm.h,'[1]SECOP II'!$A$1:$CQ$1,_xlpm.d,'[1]SECOP II'!$A$2:$CQ$94,_xlpm.r,INDEX(_xlpm.d,0,MATCH("Referencia del Contrato",_xlpm.h,0)),INDEX(_xlpm.d,MATCH(_xlpm.c,_xlpm.r,0),MATCH("Destino Gasto",_xlpm.h,0))),"")</f>
        <v>Inversión</v>
      </c>
      <c r="S53" s="21" t="str">
        <f>IFERROR(_xlfn.LET(_xlpm.n,--_xlfn.TEXTBEFORE(_xlfn.TEXTAFTER(A53,"CONTRATO ")," DE"),_xlpm.c,"CONTRATO "&amp;TEXT(_xlpm.n,"00")&amp;" DE 2026",_xlpm.h,'[1]SECOP II'!$A$1:$CQ$1,_xlpm.d,'[1]SECOP II'!$A$2:$CQ$94,_xlpm.r,INDEX(_xlpm.d,0,MATCH("Referencia del Contrato",_xlpm.h,0)),INDEX(_xlpm.d,MATCH(_xlpm.c,_xlpm.r,0),MATCH("URLProceso",_xlpm.h,0))),"")</f>
        <v>https://community.secop.gov.co/Public/Tendering/OpportunityDetail/Index?noticeUID=CO1.NTC.9634882&amp;isFromPublicArea=True&amp;isModal=true&amp;asPopupView=true</v>
      </c>
      <c r="T53" s="22" t="str">
        <f>IFERROR(_xlfn.LET(_xlpm.h,'[1]SECOP II'!$A$1:$CQ$1,_xlpm.d,'[1]SECOP II'!$A$2:$CQ$94,_xlpm.r,INDEX(_xlpm.d,0,MATCH("Referencia del Contrato",_xlpm.h,0)),INDEX(_xlpm.d,MATCH("CONTRATO 52 DE 2026",_xlpm.r,0),MATCH("Estado Contrato",_xlpm.h,0))),"")</f>
        <v>En ejecución</v>
      </c>
      <c r="U53" s="10" t="str">
        <f>[1]Contratos!C53</f>
        <v>PN</v>
      </c>
      <c r="V53" s="10" t="str">
        <f>[1]Contratos!I53</f>
        <v>GESTIÓN JURÍDICA / PEDAGOGÍA REGULATORIA</v>
      </c>
      <c r="W53" s="23" t="str">
        <f>[1]Contratos!J53</f>
        <v>VICTOR SANDOVAL /RICARDO RAMÍREZ</v>
      </c>
      <c r="X53" s="24" t="str" cm="1">
        <f t="array" ref="X53">IFERROR(VLOOKUP(W53,[1]COORD!$A$27:$B$67, 2, FALSE),[1]COORD!$B$27:$B$67)</f>
        <v>1026264211 / 79444533</v>
      </c>
      <c r="Y53" s="25" t="s">
        <v>35</v>
      </c>
      <c r="Z53" s="26">
        <v>39693109</v>
      </c>
      <c r="AA53" s="27" t="str" cm="1">
        <f t="array" ref="AA53">IF(Y53&lt;&gt;"NIT","N/A",IF(OR(Z53="",Z53="N/A"),"N/A",IF(ISERROR(VALUE(IF(ISNUMBER(FIND("-",TEXT(Z53,"@"))),LEFT(TEXT(Z53,"@"),FIND("-",TEXT(Z53,"@"))-1),TEXT(Z53,"@")))),"N/A",IF(MOD(SUMPRODUCT(VALUE(MID(TEXT(VALUE(IF(ISNUMBER(FIND("-",TEXT(Z53,"@"))),LEFT(TEXT(Z53,"@"),FIND("-",TEXT(Z53,"@"))-1),TEXT(Z53,"@"))),"000000000000000"),{15,14,13,12,11,10,9,8,7,6,5,4,3,2,1},1)),{3,7,13,17,19,23,29,37,41,43,47,53,59,67,71}),11)=0,0,IF(MOD(SUMPRODUCT(VALUE(MID(TEXT(VALUE(IF(ISNUMBER(FIND("-",TEXT(Z53,"@"))),LEFT(TEXT(Z53,"@"),FIND("-",TEXT(Z53,"@"))-1),TEXT(Z53,"@"))),"000000000000000"),{15,14,13,12,11,10,9,8,7,6,5,4,3,2,1},1)),{3,7,13,17,19,23,29,37,41,43,47,53,59,67,71}),11)=1,1,11-MOD(SUMPRODUCT(VALUE(MID(TEXT(VALUE(IF(ISNUMBER(FIND("-",TEXT(Z53,"@"))),LEFT(TEXT(Z53,"@"),FIND("-",TEXT(Z53,"@"))-1),TEXT(Z53,"@"))),"000000000000000"),{15,14,13,12,11,10,9,8,7,6,5,4,3,2,1},1)),{3,7,13,17,19,23,29,37,41,43,47,53,59,67,71}),11))))))</f>
        <v>N/A</v>
      </c>
      <c r="AB53" s="27">
        <v>80121601</v>
      </c>
      <c r="AC53" s="29" t="str">
        <f>[1]Contratos!Z53</f>
        <v>NO</v>
      </c>
      <c r="AD53" s="30">
        <f t="shared" si="3"/>
        <v>344</v>
      </c>
      <c r="AE53" s="31" t="s">
        <v>37</v>
      </c>
      <c r="AF53" s="31" t="str" cm="1">
        <f t="array" ref="AF53">IF(AG53="","",IFERROR(_xlfn.LET(_xlpm.x,INDEX([1]RP!$Z$2:$Z$706,MATCH(AG53&amp;"",[1]RP!$A$2:$A$706&amp;"",0)),IF(_xlpm.x="","",_xlpm.x)),""))</f>
        <v>7326</v>
      </c>
      <c r="AG53" s="31" cm="1">
        <f t="array" ref="AG53">IF(A53="","",IFERROR(_xlfn.LET(_xlpm.rp,[1]RP!$A$2:$A$706,_xlpm.dt,IFERROR(DATE(--LEFT([1]RP!$B$2:$B$706,4),--MID([1]RP!$B$2:$B$706,6,2),--MID([1]RP!$B$2:$B$706,9,2)),0),_xlpm.qid,UPPER(SUBSTITUTE(SUBSTITUTE(SUBSTITUTE(SUBSTITUTE([1]RP!$Q$2:$Q$706,".",""),"-","")," ",""),"O","0")),_xlpm.eid,UPPER(SUBSTITUTE(SUBSTITUTE(SUBSTITUTE(SUBSTITUTE(Z53,".",""),"-","")," ",""),"O","0")),_xlpm.qnm,UPPER(SUBSTITUTE(SUBSTITUTE(SUBSTITUTE(SUBSTITUTE(SUBSTITUTE([1]RP!$R$2:$R$706,".",""),"-","")," ",""),"Á","A"),"É","E")),_xlpm.enm,UPPER(SUBSTITUTE(SUBSTITUTE(SUBSTITUTE(SUBSTITUTE(SUBSTITUTE(B53,".",""),"-",""),"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53,"CONTRATO ")," DE")&amp;"/2026",_xlpm.dm,--ISNUMBER(SEARCH(_xlpm.num,_xlpm.sup)),_xlpm.dif,IF(_xlpm.ok,(1-_xlpm.dm)*1000000+IF(AND(ISNUMBER(M53),M53&gt;0),ABS(_xlpm.dt-M53),0),1E+99),_xlpm.md,MIN(_xlpm.dif),INDEX(_xlfn._xlws.FILTER(_xlpm.rp,(_xlpm.ok&gt;0)*(_xlpm.dif=_xlpm.md)),1)),""))</f>
        <v>7626</v>
      </c>
      <c r="AH53" s="32" cm="1">
        <f t="array" ref="AH53">IF(AF53="","",IFERROR(_xlfn.LET(_xlpm.x,INDEX([1]CDP!$B$2:$B$322,MATCH(AF53&amp;"",[1]CDP!$A$2:$A$322&amp;"",0)),IF(ISNUMBER(_xlpm.x),_xlpm.x,DATE(--LEFT(_xlpm.x,4),--MID(_xlpm.x,6,2),--MID(_xlpm.x,9,2)))),""))</f>
        <v>46037</v>
      </c>
    </row>
    <row r="54" spans="1:34" ht="61.5" customHeight="1" x14ac:dyDescent="0.35">
      <c r="A54" s="1" t="str">
        <f>[1]Contratos!A54</f>
        <v>CONTRATO 53 DE 2026</v>
      </c>
      <c r="B54" s="10" t="str">
        <f>[1]Contratos!B54</f>
        <v>HANSON GARZÓN</v>
      </c>
      <c r="C54" s="10" t="str">
        <f>[1]Contratos!E54</f>
        <v>Prestación de servicios profesionales o Apoyo a la gestión</v>
      </c>
      <c r="D54" s="10" t="s">
        <v>108</v>
      </c>
      <c r="E54" s="11" t="str">
        <f>[1]Contratos!F54</f>
        <v xml:space="preserve">Prestar los servicios profesionales especializados como Ingeniero, brindando el apoyo en la gestión y acompañamiento técnico para la ejecución de las actividades relacionadas con el análisis de requerimientos, aseguramiento de la calidad de software y gestión de pruebas especializadas tanto funcionales y no funcionales de los proyectos de desarrollo tecnológico que hacen parte del Plan Estratégico de Tecnología (PETI) 2026 relacionados con la automatización y gestión de los Datos relacionados con los servicios de telecomunicaciones, postales y de contenidos audiovisuales.
</v>
      </c>
      <c r="F54" s="12">
        <v>99000000</v>
      </c>
      <c r="G54" s="13">
        <f>[1]Contratos!G54</f>
        <v>99000000</v>
      </c>
      <c r="H54" s="14" t="str">
        <f>IFERROR(VLOOKUP(A54, [1]Otrosí!A:F, 6, FALSE), "0")</f>
        <v>0</v>
      </c>
      <c r="I54" s="13">
        <f t="shared" si="0"/>
        <v>99000000</v>
      </c>
      <c r="J54" s="15">
        <f>IFERROR(_xlfn.LET(_xlpm.x,_xlfn.LET(_xlpm.n,--_xlfn.TEXTBEFORE(_xlfn.TEXTAFTER(A54,"CONTRATO ")," DE"),_xlpm.c,"CONTRATO "&amp;TEXT(_xlpm.n,"00")&amp;" DE 2026",_xlpm.h,'[1]SECOP II'!$A$1:$CQ$1,_xlpm.d,'[1]SECOP II'!$A$2:$CQ$94,_xlpm.r,INDEX(_xlpm.d,0,MATCH("Referencia del Contrato",_xlpm.h,0)),INDEX(_xlpm.d,MATCH(_xlpm.c,_xlpm.r,0),MATCH("Valor Pagado",_xlpm.h,0))),_xlfn.NUMBERVALUE(SUBSTITUTE(_xlpm.x,"$",""),".",",")),"")</f>
        <v>71700000</v>
      </c>
      <c r="K54" s="16">
        <f t="shared" si="1"/>
        <v>27300000</v>
      </c>
      <c r="L54" s="17">
        <f t="shared" si="2"/>
        <v>0.72424242424242424</v>
      </c>
      <c r="M54" s="18">
        <f>[1]Contratos!O54</f>
        <v>46042</v>
      </c>
      <c r="N54" s="18">
        <f>[1]Contratos!P54</f>
        <v>46055</v>
      </c>
      <c r="O54" s="18">
        <f>[1]Contratos!Q54</f>
        <v>46387</v>
      </c>
      <c r="P54" s="18" t="str">
        <f>IFERROR(VLOOKUP(A54, [1]Otrosí!A:L, 7, FALSE), "N/A")</f>
        <v>N/A</v>
      </c>
      <c r="Q54" s="19" t="str">
        <f>IFERROR(_xlfn.LET(_xlpm.h,'[1]SECOP II'!$A$1:$CQ$1,_xlpm.d,'[1]SECOP II'!$A$2:$CQ$94,_xlpm.r,INDEX(_xlpm.d,0,MATCH("Referencia del Contrato",_xlpm.h,0)),INDEX(_xlpm.d,MATCH("CONTRATO 53 DE 2026",_xlpm.r,0),MATCH("Tipo de Contrato",_xlpm.h,0))),"")</f>
        <v>Prestación de servicios</v>
      </c>
      <c r="R54" s="20" t="str">
        <f>IFERROR(_xlfn.LET(_xlpm.n,--_xlfn.TEXTBEFORE(_xlfn.TEXTAFTER(A54,"CONTRATO ")," DE"),_xlpm.c,"CONTRATO "&amp;TEXT(_xlpm.n,"00")&amp;" DE 2026",_xlpm.h,'[1]SECOP II'!$A$1:$CQ$1,_xlpm.d,'[1]SECOP II'!$A$2:$CQ$94,_xlpm.r,INDEX(_xlpm.d,0,MATCH("Referencia del Contrato",_xlpm.h,0)),INDEX(_xlpm.d,MATCH(_xlpm.c,_xlpm.r,0),MATCH("Destino Gasto",_xlpm.h,0))),"")</f>
        <v>Inversión</v>
      </c>
      <c r="S54" s="21" t="str">
        <f>IFERROR(_xlfn.LET(_xlpm.n,--_xlfn.TEXTBEFORE(_xlfn.TEXTAFTER(A54,"CONTRATO ")," DE"),_xlpm.c,"CONTRATO "&amp;TEXT(_xlpm.n,"00")&amp;" DE 2026",_xlpm.h,'[1]SECOP II'!$A$1:$CQ$1,_xlpm.d,'[1]SECOP II'!$A$2:$CQ$94,_xlpm.r,INDEX(_xlpm.d,0,MATCH("Referencia del Contrato",_xlpm.h,0)),INDEX(_xlpm.d,MATCH(_xlpm.c,_xlpm.r,0),MATCH("URLProceso",_xlpm.h,0))),"")</f>
        <v>https://community.secop.gov.co/Public/Tendering/OpportunityDetail/Index?noticeUID=CO1.NTC.9635860&amp;isFromPublicArea=True&amp;isModal=true&amp;asPopupView=true</v>
      </c>
      <c r="T54" s="22" t="str">
        <f>IFERROR(_xlfn.LET(_xlpm.h,'[1]SECOP II'!$A$1:$CQ$1,_xlpm.d,'[1]SECOP II'!$A$2:$CQ$94,_xlpm.r,INDEX(_xlpm.d,0,MATCH("Referencia del Contrato",_xlpm.h,0)),INDEX(_xlpm.d,MATCH("CONTRATO 53 DE 2026",_xlpm.r,0),MATCH("Estado Contrato",_xlpm.h,0))),"")</f>
        <v>En ejecución</v>
      </c>
      <c r="U54" s="10" t="str">
        <f>[1]Contratos!C54</f>
        <v>PN</v>
      </c>
      <c r="V54" s="10" t="str">
        <f>[1]Contratos!I54</f>
        <v>TECNOLOGÍAS Y SIST. DE INF.</v>
      </c>
      <c r="W54" s="23" t="str">
        <f>[1]Contratos!J54</f>
        <v>INGRID PICÓN</v>
      </c>
      <c r="X54" s="24" cm="1">
        <f t="array" ref="X54">IFERROR(VLOOKUP(W54,[1]COORD!$A$27:$B$67, 2, FALSE),[1]COORD!$B$27:$B$67)</f>
        <v>60372503</v>
      </c>
      <c r="Y54" s="25" t="s">
        <v>35</v>
      </c>
      <c r="Z54" s="26">
        <v>1030570790</v>
      </c>
      <c r="AA54" s="27" t="str" cm="1">
        <f t="array" ref="AA54">IF(Y54&lt;&gt;"NIT","N/A",IF(OR(Z54="",Z54="N/A"),"N/A",IF(ISERROR(VALUE(IF(ISNUMBER(FIND("-",TEXT(Z54,"@"))),LEFT(TEXT(Z54,"@"),FIND("-",TEXT(Z54,"@"))-1),TEXT(Z54,"@")))),"N/A",IF(MOD(SUMPRODUCT(VALUE(MID(TEXT(VALUE(IF(ISNUMBER(FIND("-",TEXT(Z54,"@"))),LEFT(TEXT(Z54,"@"),FIND("-",TEXT(Z54,"@"))-1),TEXT(Z54,"@"))),"000000000000000"),{15,14,13,12,11,10,9,8,7,6,5,4,3,2,1},1)),{3,7,13,17,19,23,29,37,41,43,47,53,59,67,71}),11)=0,0,IF(MOD(SUMPRODUCT(VALUE(MID(TEXT(VALUE(IF(ISNUMBER(FIND("-",TEXT(Z54,"@"))),LEFT(TEXT(Z54,"@"),FIND("-",TEXT(Z54,"@"))-1),TEXT(Z54,"@"))),"000000000000000"),{15,14,13,12,11,10,9,8,7,6,5,4,3,2,1},1)),{3,7,13,17,19,23,29,37,41,43,47,53,59,67,71}),11)=1,1,11-MOD(SUMPRODUCT(VALUE(MID(TEXT(VALUE(IF(ISNUMBER(FIND("-",TEXT(Z54,"@"))),LEFT(TEXT(Z54,"@"),FIND("-",TEXT(Z54,"@"))-1),TEXT(Z54,"@"))),"000000000000000"),{15,14,13,12,11,10,9,8,7,6,5,4,3,2,1},1)),{3,7,13,17,19,23,29,37,41,43,47,53,59,67,71}),11))))))</f>
        <v>N/A</v>
      </c>
      <c r="AB54" s="27">
        <v>81111504</v>
      </c>
      <c r="AC54" s="29" t="str">
        <f>[1]Contratos!Z54</f>
        <v>NO</v>
      </c>
      <c r="AD54" s="30">
        <f t="shared" si="3"/>
        <v>345</v>
      </c>
      <c r="AE54" s="31" t="s">
        <v>58</v>
      </c>
      <c r="AF54" s="31" t="str" cm="1">
        <f t="array" ref="AF54">IF(AG54="","",IFERROR(_xlfn.LET(_xlpm.x,INDEX([1]RP!$Z$2:$Z$706,MATCH(AG54&amp;"",[1]RP!$A$2:$A$706&amp;"",0)),IF(_xlpm.x="","",_xlpm.x)),""))</f>
        <v>7426</v>
      </c>
      <c r="AG54" s="31" cm="1">
        <f t="array" ref="AG54">IF(A54="","",IFERROR(_xlfn.LET(_xlpm.rp,[1]RP!$A$2:$A$706,_xlpm.dt,IFERROR(DATE(--LEFT([1]RP!$B$2:$B$706,4),--MID([1]RP!$B$2:$B$706,6,2),--MID([1]RP!$B$2:$B$706,9,2)),0),_xlpm.qid,UPPER(SUBSTITUTE(SUBSTITUTE(SUBSTITUTE(SUBSTITUTE([1]RP!$Q$2:$Q$706,".",""),"-","")," ",""),"O","0")),_xlpm.eid,UPPER(SUBSTITUTE(SUBSTITUTE(SUBSTITUTE(SUBSTITUTE(Z54,".",""),"-","")," ",""),"O","0")),_xlpm.qnm,UPPER(SUBSTITUTE(SUBSTITUTE(SUBSTITUTE(SUBSTITUTE(SUBSTITUTE([1]RP!$R$2:$R$706,".",""),"-","")," ",""),"Á","A"),"É","E")),_xlpm.enm,UPPER(SUBSTITUTE(SUBSTITUTE(SUBSTITUTE(SUBSTITUTE(SUBSTITUTE(B54,".",""),"-",""),"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54,"CONTRATO ")," DE")&amp;"/2026",_xlpm.dm,--ISNUMBER(SEARCH(_xlpm.num,_xlpm.sup)),_xlpm.dif,IF(_xlpm.ok,(1-_xlpm.dm)*1000000+IF(AND(ISNUMBER(M54),M54&gt;0),ABS(_xlpm.dt-M54),0),1E+99),_xlpm.md,MIN(_xlpm.dif),INDEX(_xlfn._xlws.FILTER(_xlpm.rp,(_xlpm.ok&gt;0)*(_xlpm.dif=_xlpm.md)),1)),""))</f>
        <v>7126</v>
      </c>
      <c r="AH54" s="32" cm="1">
        <f t="array" ref="AH54">IF(AF54="","",IFERROR(_xlfn.LET(_xlpm.x,INDEX([1]CDP!$B$2:$B$322,MATCH(AF54&amp;"",[1]CDP!$A$2:$A$322&amp;"",0)),IF(ISNUMBER(_xlpm.x),_xlpm.x,DATE(--LEFT(_xlpm.x,4),--MID(_xlpm.x,6,2),--MID(_xlpm.x,9,2)))),""))</f>
        <v>46037</v>
      </c>
    </row>
    <row r="55" spans="1:34" ht="61.5" customHeight="1" x14ac:dyDescent="0.35">
      <c r="A55" s="1" t="str">
        <f>[1]Contratos!A55</f>
        <v>CONTRATO 54 DE 2026</v>
      </c>
      <c r="B55" s="10" t="str">
        <f>[1]Contratos!B55</f>
        <v>ADRIANA CAROLINA SANTISTEBAN GALAN</v>
      </c>
      <c r="C55" s="10" t="str">
        <f>[1]Contratos!E55</f>
        <v>Prestación de servicios profesionales o Apoyo a la gestión</v>
      </c>
      <c r="D55" s="10" t="s">
        <v>109</v>
      </c>
      <c r="E55" s="11" t="str">
        <f>[1]Contratos!F55</f>
        <v>Prestación de servicios profesionales para brindar apoyo jurídico especializado a la CRC en el desarrollo de sus actividades misionales, orientado principalmente al análisis, sustanciación y trámite de actuaciones administrativas, en especial en materia de solución de controversias, imposición de servidumbres de acceso, uso e interconexión y actuaciones en contenidos audiovisuales, actuaciones de inspección, vigilancia y control en materia de contenidos audiovisuales, así como al acompañamiento jurídico en proyectos regulatorios que adelante la entidad en el marco de la Agenda Regulatoria 2026-2027 y el Plan de Acción Institucional, y a la elaboración de respuestas a solicitudes y conceptos jurídicos especializados, en apoyo a los Grupos Internos de Trabajo de Gestión Jurídica, Gestión Audiovisual y Pedagogía Regulatoria y Diseño Regulatorio.</v>
      </c>
      <c r="F55" s="12">
        <v>195500000</v>
      </c>
      <c r="G55" s="13">
        <f>[1]Contratos!G55</f>
        <v>195500000</v>
      </c>
      <c r="H55" s="14" t="str">
        <f>IFERROR(VLOOKUP(A55, [1]Otrosí!A:F, 6, FALSE), "0")</f>
        <v>0</v>
      </c>
      <c r="I55" s="13">
        <f t="shared" si="0"/>
        <v>195500000</v>
      </c>
      <c r="J55" s="15">
        <f>IFERROR(_xlfn.LET(_xlpm.x,_xlfn.LET(_xlpm.n,--_xlfn.TEXTBEFORE(_xlfn.TEXTAFTER(A55,"CONTRATO ")," DE"),_xlpm.c,"CONTRATO "&amp;TEXT(_xlpm.n,"00")&amp;" DE 2026",_xlpm.h,'[1]SECOP II'!$A$1:$CQ$1,_xlpm.d,'[1]SECOP II'!$A$2:$CQ$94,_xlpm.r,INDEX(_xlpm.d,0,MATCH("Referencia del Contrato",_xlpm.h,0)),INDEX(_xlpm.d,MATCH(_xlpm.c,_xlpm.r,0),MATCH("Valor Pagado",_xlpm.h,0))),_xlfn.NUMBERVALUE(SUBSTITUTE(_xlpm.x,"$",""),".",",")),"")</f>
        <v>107666666</v>
      </c>
      <c r="K55" s="16">
        <f t="shared" si="1"/>
        <v>87833334</v>
      </c>
      <c r="L55" s="17">
        <f t="shared" si="2"/>
        <v>0.55072463427109974</v>
      </c>
      <c r="M55" s="18">
        <f>[1]Contratos!O55</f>
        <v>46042</v>
      </c>
      <c r="N55" s="18">
        <f>[1]Contratos!P55</f>
        <v>46043</v>
      </c>
      <c r="O55" s="18">
        <f>[1]Contratos!Q55</f>
        <v>46387</v>
      </c>
      <c r="P55" s="18" t="str">
        <f>IFERROR(VLOOKUP(A55, [1]Otrosí!A:L, 7, FALSE), "N/A")</f>
        <v>N/A</v>
      </c>
      <c r="Q55" s="19" t="str">
        <f>IFERROR(_xlfn.LET(_xlpm.h,'[1]SECOP II'!$A$1:$CQ$1,_xlpm.d,'[1]SECOP II'!$A$2:$CQ$94,_xlpm.r,INDEX(_xlpm.d,0,MATCH("Referencia del Contrato",_xlpm.h,0)),INDEX(_xlpm.d,MATCH("CONTRATO 54 DE 2026",_xlpm.r,0),MATCH("Tipo de Contrato",_xlpm.h,0))),"")</f>
        <v>Prestación de servicios</v>
      </c>
      <c r="R55" s="20" t="str">
        <f>IFERROR(_xlfn.LET(_xlpm.n,--_xlfn.TEXTBEFORE(_xlfn.TEXTAFTER(A55,"CONTRATO ")," DE"),_xlpm.c,"CONTRATO "&amp;TEXT(_xlpm.n,"00")&amp;" DE 2026",_xlpm.h,'[1]SECOP II'!$A$1:$CQ$1,_xlpm.d,'[1]SECOP II'!$A$2:$CQ$94,_xlpm.r,INDEX(_xlpm.d,0,MATCH("Referencia del Contrato",_xlpm.h,0)),INDEX(_xlpm.d,MATCH(_xlpm.c,_xlpm.r,0),MATCH("Destino Gasto",_xlpm.h,0))),"")</f>
        <v>Inversión</v>
      </c>
      <c r="S55" s="21" t="str">
        <f>IFERROR(_xlfn.LET(_xlpm.n,--_xlfn.TEXTBEFORE(_xlfn.TEXTAFTER(A55,"CONTRATO ")," DE"),_xlpm.c,"CONTRATO "&amp;TEXT(_xlpm.n,"00")&amp;" DE 2026",_xlpm.h,'[1]SECOP II'!$A$1:$CQ$1,_xlpm.d,'[1]SECOP II'!$A$2:$CQ$94,_xlpm.r,INDEX(_xlpm.d,0,MATCH("Referencia del Contrato",_xlpm.h,0)),INDEX(_xlpm.d,MATCH(_xlpm.c,_xlpm.r,0),MATCH("URLProceso",_xlpm.h,0))),"")</f>
        <v>https://community.secop.gov.co/Public/Tendering/OpportunityDetail/Index?noticeUID=CO1.NTC.9636199&amp;isFromPublicArea=True&amp;isModal=true&amp;asPopupView=true</v>
      </c>
      <c r="T55" s="22" t="str">
        <f>IFERROR(_xlfn.LET(_xlpm.h,'[1]SECOP II'!$A$1:$CQ$1,_xlpm.d,'[1]SECOP II'!$A$2:$CQ$94,_xlpm.r,INDEX(_xlpm.d,0,MATCH("Referencia del Contrato",_xlpm.h,0)),INDEX(_xlpm.d,MATCH("CONTRATO 54 DE 2026",_xlpm.r,0),MATCH("Estado Contrato",_xlpm.h,0))),"")</f>
        <v>En ejecución</v>
      </c>
      <c r="U55" s="10" t="str">
        <f>[1]Contratos!C55</f>
        <v>PN</v>
      </c>
      <c r="V55" s="10" t="str">
        <f>[1]Contratos!I55</f>
        <v>GESTIÓN JURÍDICA</v>
      </c>
      <c r="W55" s="23" t="str">
        <f>[1]Contratos!J55</f>
        <v>VICTOR SANDOVAL</v>
      </c>
      <c r="X55" s="24" cm="1">
        <f t="array" ref="X55">IFERROR(VLOOKUP(W55,[1]COORD!$A$27:$B$67, 2, FALSE),[1]COORD!$B$27:$B$67)</f>
        <v>1026264211</v>
      </c>
      <c r="Y55" s="25" t="s">
        <v>35</v>
      </c>
      <c r="Z55" s="26">
        <v>1018431477</v>
      </c>
      <c r="AA55" s="27" t="str" cm="1">
        <f t="array" ref="AA55">IF(Y55&lt;&gt;"NIT","N/A",IF(OR(Z55="",Z55="N/A"),"N/A",IF(ISERROR(VALUE(IF(ISNUMBER(FIND("-",TEXT(Z55,"@"))),LEFT(TEXT(Z55,"@"),FIND("-",TEXT(Z55,"@"))-1),TEXT(Z55,"@")))),"N/A",IF(MOD(SUMPRODUCT(VALUE(MID(TEXT(VALUE(IF(ISNUMBER(FIND("-",TEXT(Z55,"@"))),LEFT(TEXT(Z55,"@"),FIND("-",TEXT(Z55,"@"))-1),TEXT(Z55,"@"))),"000000000000000"),{15,14,13,12,11,10,9,8,7,6,5,4,3,2,1},1)),{3,7,13,17,19,23,29,37,41,43,47,53,59,67,71}),11)=0,0,IF(MOD(SUMPRODUCT(VALUE(MID(TEXT(VALUE(IF(ISNUMBER(FIND("-",TEXT(Z55,"@"))),LEFT(TEXT(Z55,"@"),FIND("-",TEXT(Z55,"@"))-1),TEXT(Z55,"@"))),"000000000000000"),{15,14,13,12,11,10,9,8,7,6,5,4,3,2,1},1)),{3,7,13,17,19,23,29,37,41,43,47,53,59,67,71}),11)=1,1,11-MOD(SUMPRODUCT(VALUE(MID(TEXT(VALUE(IF(ISNUMBER(FIND("-",TEXT(Z55,"@"))),LEFT(TEXT(Z55,"@"),FIND("-",TEXT(Z55,"@"))-1),TEXT(Z55,"@"))),"000000000000000"),{15,14,13,12,11,10,9,8,7,6,5,4,3,2,1},1)),{3,7,13,17,19,23,29,37,41,43,47,53,59,67,71}),11))))))</f>
        <v>N/A</v>
      </c>
      <c r="AB55" s="27">
        <v>80121601</v>
      </c>
      <c r="AC55" s="29" t="str">
        <f>[1]Contratos!Z55</f>
        <v>NO</v>
      </c>
      <c r="AD55" s="30">
        <f t="shared" si="3"/>
        <v>345</v>
      </c>
      <c r="AE55" s="31" t="s">
        <v>37</v>
      </c>
      <c r="AF55" s="31" t="str" cm="1">
        <f t="array" ref="AF55">IF(AG55="","",IFERROR(_xlfn.LET(_xlpm.x,INDEX([1]RP!$Z$2:$Z$706,MATCH(AG55&amp;"",[1]RP!$A$2:$A$706&amp;"",0)),IF(_xlpm.x="","",_xlpm.x)),""))</f>
        <v>7226</v>
      </c>
      <c r="AG55" s="31" cm="1">
        <f t="array" ref="AG55">IF(A55="","",IFERROR(_xlfn.LET(_xlpm.rp,[1]RP!$A$2:$A$706,_xlpm.dt,IFERROR(DATE(--LEFT([1]RP!$B$2:$B$706,4),--MID([1]RP!$B$2:$B$706,6,2),--MID([1]RP!$B$2:$B$706,9,2)),0),_xlpm.qid,UPPER(SUBSTITUTE(SUBSTITUTE(SUBSTITUTE(SUBSTITUTE([1]RP!$Q$2:$Q$706,".",""),"-","")," ",""),"O","0")),_xlpm.eid,UPPER(SUBSTITUTE(SUBSTITUTE(SUBSTITUTE(SUBSTITUTE(Z55,".",""),"-","")," ",""),"O","0")),_xlpm.qnm,UPPER(SUBSTITUTE(SUBSTITUTE(SUBSTITUTE(SUBSTITUTE(SUBSTITUTE([1]RP!$R$2:$R$706,".",""),"-","")," ",""),"Á","A"),"É","E")),_xlpm.enm,UPPER(SUBSTITUTE(SUBSTITUTE(SUBSTITUTE(SUBSTITUTE(SUBSTITUTE(B55,".",""),"-",""),"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55,"CONTRATO ")," DE")&amp;"/2026",_xlpm.dm,--ISNUMBER(SEARCH(_xlpm.num,_xlpm.sup)),_xlpm.dif,IF(_xlpm.ok,(1-_xlpm.dm)*1000000+IF(AND(ISNUMBER(M55),M55&gt;0),ABS(_xlpm.dt-M55),0),1E+99),_xlpm.md,MIN(_xlpm.dif),INDEX(_xlfn._xlws.FILTER(_xlpm.rp,(_xlpm.ok&gt;0)*(_xlpm.dif=_xlpm.md)),1)),""))</f>
        <v>7026</v>
      </c>
      <c r="AH55" s="32" cm="1">
        <f t="array" ref="AH55">IF(AF55="","",IFERROR(_xlfn.LET(_xlpm.x,INDEX([1]CDP!$B$2:$B$322,MATCH(AF55&amp;"",[1]CDP!$A$2:$A$322&amp;"",0)),IF(ISNUMBER(_xlpm.x),_xlpm.x,DATE(--LEFT(_xlpm.x,4),--MID(_xlpm.x,6,2),--MID(_xlpm.x,9,2)))),""))</f>
        <v>46037</v>
      </c>
    </row>
    <row r="56" spans="1:34" ht="77.5" customHeight="1" x14ac:dyDescent="0.35">
      <c r="A56" s="1" t="str">
        <f>[1]Contratos!A56</f>
        <v>CONTRATO 55 DE 2026</v>
      </c>
      <c r="B56" s="10" t="str">
        <f>[1]Contratos!B56</f>
        <v xml:space="preserve">JUAN JOSE GALEANO HERMOSA </v>
      </c>
      <c r="C56" s="10" t="str">
        <f>[1]Contratos!E56</f>
        <v>Prestación de servicios profesionales o Apoyo a la gestión</v>
      </c>
      <c r="D56" s="10" t="s">
        <v>110</v>
      </c>
      <c r="E56" s="11" t="str">
        <f>[1]Contratos!F56</f>
        <v>Prestación de servicios profesionales en materia de análisis de datos, para apoyar en el desarrollo de las actividades de las Coordinaciones de Analítica de Datos y Prospectiva Estratégica e Innovación, relacionadas con la extracción, transformación, procesamiento y visualización de datos, así como la elaboración de estudios sectoriales para fortalecer el conocimiento del ecosistema digital, de acuerdo con lo previsto en la Agenda Regulatoria 2026-2027 y Plan de Acción de la CRC para el año 2026.</v>
      </c>
      <c r="F56" s="12">
        <v>137500000</v>
      </c>
      <c r="G56" s="13">
        <f>[1]Contratos!G56</f>
        <v>137500000</v>
      </c>
      <c r="H56" s="14" t="str">
        <f>IFERROR(VLOOKUP(A56, [1]Otrosí!A:F, 6, FALSE), "0")</f>
        <v>0</v>
      </c>
      <c r="I56" s="13">
        <f t="shared" si="0"/>
        <v>137500000</v>
      </c>
      <c r="J56" s="15">
        <f>IFERROR(_xlfn.LET(_xlpm.x,_xlfn.LET(_xlpm.n,--_xlfn.TEXTBEFORE(_xlfn.TEXTAFTER(A56,"CONTRATO ")," DE"),_xlpm.c,"CONTRATO "&amp;TEXT(_xlpm.n,"00")&amp;" DE 2026",_xlpm.h,'[1]SECOP II'!$A$1:$CQ$1,_xlpm.d,'[1]SECOP II'!$A$2:$CQ$94,_xlpm.r,INDEX(_xlpm.d,0,MATCH("Referencia del Contrato",_xlpm.h,0)),INDEX(_xlpm.d,MATCH(_xlpm.c,_xlpm.r,0),MATCH("Valor Pagado",_xlpm.h,0))),_xlfn.NUMBERVALUE(SUBSTITUTE(_xlpm.x,"$",""),".",",")),"")</f>
        <v>87083333</v>
      </c>
      <c r="K56" s="16">
        <f t="shared" si="1"/>
        <v>50416667</v>
      </c>
      <c r="L56" s="17">
        <f t="shared" si="2"/>
        <v>0.63333333090909094</v>
      </c>
      <c r="M56" s="18">
        <f>[1]Contratos!O56</f>
        <v>46049</v>
      </c>
      <c r="N56" s="18">
        <f>[1]Contratos!P56</f>
        <v>46055</v>
      </c>
      <c r="O56" s="18">
        <f>[1]Contratos!Q56</f>
        <v>46387</v>
      </c>
      <c r="P56" s="18" t="str">
        <f>IFERROR(VLOOKUP(A56, [1]Otrosí!A:L, 7, FALSE), "N/A")</f>
        <v>N/A</v>
      </c>
      <c r="Q56" s="19" t="str">
        <f>IFERROR(_xlfn.LET(_xlpm.h,'[1]SECOP II'!$A$1:$CQ$1,_xlpm.d,'[1]SECOP II'!$A$2:$CQ$94,_xlpm.r,INDEX(_xlpm.d,0,MATCH("Referencia del Contrato",_xlpm.h,0)),INDEX(_xlpm.d,MATCH("CONTRATO 55 DE 2026",_xlpm.r,0),MATCH("Tipo de Contrato",_xlpm.h,0))),"")</f>
        <v>Prestación de servicios</v>
      </c>
      <c r="R56" s="20" t="str">
        <f>IFERROR(_xlfn.LET(_xlpm.n,--_xlfn.TEXTBEFORE(_xlfn.TEXTAFTER(A56,"CONTRATO ")," DE"),_xlpm.c,"CONTRATO "&amp;TEXT(_xlpm.n,"00")&amp;" DE 2026",_xlpm.h,'[1]SECOP II'!$A$1:$CQ$1,_xlpm.d,'[1]SECOP II'!$A$2:$CQ$94,_xlpm.r,INDEX(_xlpm.d,0,MATCH("Referencia del Contrato",_xlpm.h,0)),INDEX(_xlpm.d,MATCH(_xlpm.c,_xlpm.r,0),MATCH("Destino Gasto",_xlpm.h,0))),"")</f>
        <v>Inversión</v>
      </c>
      <c r="S56" s="21" t="str">
        <f>IFERROR(_xlfn.LET(_xlpm.n,--_xlfn.TEXTBEFORE(_xlfn.TEXTAFTER(A56,"CONTRATO ")," DE"),_xlpm.c,"CONTRATO "&amp;TEXT(_xlpm.n,"00")&amp;" DE 2026",_xlpm.h,'[1]SECOP II'!$A$1:$CQ$1,_xlpm.d,'[1]SECOP II'!$A$2:$CQ$94,_xlpm.r,INDEX(_xlpm.d,0,MATCH("Referencia del Contrato",_xlpm.h,0)),INDEX(_xlpm.d,MATCH(_xlpm.c,_xlpm.r,0),MATCH("URLProceso",_xlpm.h,0))),"")</f>
        <v>https://community.secop.gov.co/Public/Tendering/OpportunityDetail/Index?noticeUID=CO1.NTC.9816128&amp;isFromPublicArea=True&amp;isModal=true&amp;asPopupView=true</v>
      </c>
      <c r="T56" s="22" t="str">
        <f>IFERROR(_xlfn.LET(_xlpm.h,'[1]SECOP II'!$A$1:$CQ$1,_xlpm.d,'[1]SECOP II'!$A$2:$CQ$94,_xlpm.r,INDEX(_xlpm.d,0,MATCH("Referencia del Contrato",_xlpm.h,0)),INDEX(_xlpm.d,MATCH("CONTRATO 55 DE 2026",_xlpm.r,0),MATCH("Estado Contrato",_xlpm.h,0))),"")</f>
        <v>En ejecución</v>
      </c>
      <c r="U56" s="10" t="str">
        <f>[1]Contratos!C56</f>
        <v>PN</v>
      </c>
      <c r="V56" s="10" t="str">
        <f>[1]Contratos!I56</f>
        <v>ANALÍTICA DE DATOS / INNOVACIÓN Y PROSPECTIVA</v>
      </c>
      <c r="W56" s="23" t="str">
        <f>[1]Contratos!J56</f>
        <v>VICTOR BALDRICH / MIGUEL DURÁN</v>
      </c>
      <c r="X56" s="24" t="str" cm="1">
        <f t="array" ref="X56">IFERROR(VLOOKUP(W56,[1]COORD!$A$27:$B$67, 2, FALSE),[1]COORD!$B$27:$B$67)</f>
        <v>1019105701 / 92541020</v>
      </c>
      <c r="Y56" s="25" t="s">
        <v>35</v>
      </c>
      <c r="Z56" s="26">
        <v>1010234849</v>
      </c>
      <c r="AA56" s="27" t="str" cm="1">
        <f t="array" ref="AA56">IF(Y56&lt;&gt;"NIT","N/A",IF(OR(Z56="",Z56="N/A"),"N/A",IF(ISERROR(VALUE(IF(ISNUMBER(FIND("-",TEXT(Z56,"@"))),LEFT(TEXT(Z56,"@"),FIND("-",TEXT(Z56,"@"))-1),TEXT(Z56,"@")))),"N/A",IF(MOD(SUMPRODUCT(VALUE(MID(TEXT(VALUE(IF(ISNUMBER(FIND("-",TEXT(Z56,"@"))),LEFT(TEXT(Z56,"@"),FIND("-",TEXT(Z56,"@"))-1),TEXT(Z56,"@"))),"000000000000000"),{15,14,13,12,11,10,9,8,7,6,5,4,3,2,1},1)),{3,7,13,17,19,23,29,37,41,43,47,53,59,67,71}),11)=0,0,IF(MOD(SUMPRODUCT(VALUE(MID(TEXT(VALUE(IF(ISNUMBER(FIND("-",TEXT(Z56,"@"))),LEFT(TEXT(Z56,"@"),FIND("-",TEXT(Z56,"@"))-1),TEXT(Z56,"@"))),"000000000000000"),{15,14,13,12,11,10,9,8,7,6,5,4,3,2,1},1)),{3,7,13,17,19,23,29,37,41,43,47,53,59,67,71}),11)=1,1,11-MOD(SUMPRODUCT(VALUE(MID(TEXT(VALUE(IF(ISNUMBER(FIND("-",TEXT(Z56,"@"))),LEFT(TEXT(Z56,"@"),FIND("-",TEXT(Z56,"@"))-1),TEXT(Z56,"@"))),"000000000000000"),{15,14,13,12,11,10,9,8,7,6,5,4,3,2,1},1)),{3,7,13,17,19,23,29,37,41,43,47,53,59,67,71}),11))))))</f>
        <v>N/A</v>
      </c>
      <c r="AB56" s="27">
        <v>81121502</v>
      </c>
      <c r="AC56" s="29" t="str">
        <f>[1]Contratos!Z56</f>
        <v>NO</v>
      </c>
      <c r="AD56" s="30">
        <f t="shared" si="3"/>
        <v>338</v>
      </c>
      <c r="AE56" s="31" t="s">
        <v>37</v>
      </c>
      <c r="AF56" s="31" t="str" cm="1">
        <f t="array" ref="AF56">IF(AG56="","",IFERROR(_xlfn.LET(_xlpm.x,INDEX([1]RP!$Z$2:$Z$706,MATCH(AG56&amp;"",[1]RP!$A$2:$A$706&amp;"",0)),IF(_xlpm.x="","",_xlpm.x)),""))</f>
        <v>7626</v>
      </c>
      <c r="AG56" s="31" cm="1">
        <f t="array" ref="AG56">IF(A56="","",IFERROR(_xlfn.LET(_xlpm.rp,[1]RP!$A$2:$A$706,_xlpm.dt,IFERROR(DATE(--LEFT([1]RP!$B$2:$B$706,4),--MID([1]RP!$B$2:$B$706,6,2),--MID([1]RP!$B$2:$B$706,9,2)),0),_xlpm.qid,UPPER(SUBSTITUTE(SUBSTITUTE(SUBSTITUTE(SUBSTITUTE([1]RP!$Q$2:$Q$706,".",""),"-","")," ",""),"O","0")),_xlpm.eid,UPPER(SUBSTITUTE(SUBSTITUTE(SUBSTITUTE(SUBSTITUTE(Z56,".",""),"-","")," ",""),"O","0")),_xlpm.qnm,UPPER(SUBSTITUTE(SUBSTITUTE(SUBSTITUTE(SUBSTITUTE(SUBSTITUTE([1]RP!$R$2:$R$706,".",""),"-","")," ",""),"Á","A"),"É","E")),_xlpm.enm,UPPER(SUBSTITUTE(SUBSTITUTE(SUBSTITUTE(SUBSTITUTE(SUBSTITUTE(B56,".",""),"-",""),"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56,"CONTRATO ")," DE")&amp;"/2026",_xlpm.dm,--ISNUMBER(SEARCH(_xlpm.num,_xlpm.sup)),_xlpm.dif,IF(_xlpm.ok,(1-_xlpm.dm)*1000000+IF(AND(ISNUMBER(M56),M56&gt;0),ABS(_xlpm.dt-M56),0),1E+99),_xlpm.md,MIN(_xlpm.dif),INDEX(_xlfn._xlws.FILTER(_xlpm.rp,(_xlpm.ok&gt;0)*(_xlpm.dif=_xlpm.md)),1)),""))</f>
        <v>8126</v>
      </c>
      <c r="AH56" s="32" cm="1">
        <f t="array" ref="AH56">IF(AF56="","",IFERROR(_xlfn.LET(_xlpm.x,INDEX([1]CDP!$B$2:$B$322,MATCH(AF56&amp;"",[1]CDP!$A$2:$A$322&amp;"",0)),IF(ISNUMBER(_xlpm.x),_xlpm.x,DATE(--LEFT(_xlpm.x,4),--MID(_xlpm.x,6,2),--MID(_xlpm.x,9,2)))),""))</f>
        <v>46048</v>
      </c>
    </row>
    <row r="57" spans="1:34" ht="61.5" customHeight="1" x14ac:dyDescent="0.35">
      <c r="A57" s="1" t="str">
        <f>[1]Contratos!A57</f>
        <v>CONTRATO 56 DE 2026</v>
      </c>
      <c r="B57" s="10" t="str">
        <f>[1]Contratos!B57</f>
        <v xml:space="preserve">LITIGANDO PUNTO COM </v>
      </c>
      <c r="C57" s="10" t="str">
        <f>[1]Contratos!E57</f>
        <v>Mínima cuantía</v>
      </c>
      <c r="D57" s="10" t="s">
        <v>111</v>
      </c>
      <c r="E57" s="11" t="str">
        <f>[1]Contratos!F57</f>
        <v>Prestación del servicio de vigilancia y control judicial de los procesos judiciales en los cuales la CRC sea parte o tercero, y que se estén adelantando en cualquiera de los despachos judiciales ubicados en el territorio nacional.</v>
      </c>
      <c r="F57" s="12">
        <v>7632350</v>
      </c>
      <c r="G57" s="13">
        <f>[1]Contratos!G57</f>
        <v>4598997</v>
      </c>
      <c r="H57" s="14" t="str">
        <f>IFERROR(VLOOKUP(A57, [1]Otrosí!A:F, 6, FALSE), "0")</f>
        <v>0</v>
      </c>
      <c r="I57" s="13">
        <f t="shared" si="0"/>
        <v>4598997</v>
      </c>
      <c r="J57" s="15">
        <f>IFERROR(_xlfn.LET(_xlpm.x,_xlfn.LET(_xlpm.n,--_xlfn.TEXTBEFORE(_xlfn.TEXTAFTER(A57,"CONTRATO ")," DE"),_xlpm.c,"CONTRATO "&amp;TEXT(_xlpm.n,"00")&amp;" DE 2026",_xlpm.h,'[1]SECOP II'!$A$1:$CQ$1,_xlpm.d,'[1]SECOP II'!$A$2:$CQ$94,_xlpm.r,INDEX(_xlpm.d,0,MATCH("Referencia del Contrato",_xlpm.h,0)),INDEX(_xlpm.d,MATCH(_xlpm.c,_xlpm.r,0),MATCH("Valor Pagado",_xlpm.h,0))),_xlfn.NUMBERVALUE(SUBSTITUTE(_xlpm.x,"$",""),".",",")),"")</f>
        <v>3431000</v>
      </c>
      <c r="K57" s="16">
        <f t="shared" si="1"/>
        <v>1167997</v>
      </c>
      <c r="L57" s="17">
        <f t="shared" si="2"/>
        <v>0.74603223268029961</v>
      </c>
      <c r="M57" s="18">
        <f>[1]Contratos!O57</f>
        <v>46057</v>
      </c>
      <c r="N57" s="18">
        <f>[1]Contratos!P57</f>
        <v>46059</v>
      </c>
      <c r="O57" s="18">
        <f>[1]Contratos!Q57</f>
        <v>46371</v>
      </c>
      <c r="P57" s="18" t="str">
        <f>IFERROR(VLOOKUP(A57, [1]Otrosí!A:L, 7, FALSE), "N/A")</f>
        <v>N/A</v>
      </c>
      <c r="Q57" s="19" t="str">
        <f>IFERROR(_xlfn.LET(_xlpm.h,'[1]SECOP II'!$A$1:$CQ$1,_xlpm.d,'[1]SECOP II'!$A$2:$CQ$94,_xlpm.r,INDEX(_xlpm.d,0,MATCH("Referencia del Contrato",_xlpm.h,0)),INDEX(_xlpm.d,MATCH("CONTRATO 56 DE 2026",_xlpm.r,0),MATCH("Tipo de Contrato",_xlpm.h,0))),"")</f>
        <v>Prestación de servicios</v>
      </c>
      <c r="R57" s="20" t="str">
        <f>IFERROR(_xlfn.LET(_xlpm.n,--_xlfn.TEXTBEFORE(_xlfn.TEXTAFTER(A57,"CONTRATO ")," DE"),_xlpm.c,"CONTRATO "&amp;TEXT(_xlpm.n,"00")&amp;" DE 2026",_xlpm.h,'[1]SECOP II'!$A$1:$CQ$1,_xlpm.d,'[1]SECOP II'!$A$2:$CQ$94,_xlpm.r,INDEX(_xlpm.d,0,MATCH("Referencia del Contrato",_xlpm.h,0)),INDEX(_xlpm.d,MATCH(_xlpm.c,_xlpm.r,0),MATCH("Destino Gasto",_xlpm.h,0))),"")</f>
        <v>Inversión</v>
      </c>
      <c r="S57" s="34" t="str">
        <f>IFERROR(_xlfn.LET(_xlpm.n,--_xlfn.TEXTBEFORE(_xlfn.TEXTAFTER(A57,"CONTRATO ")," DE"),_xlpm.c,"CONTRATO "&amp;TEXT(_xlpm.n,"00")&amp;" DE 2026",_xlpm.h,'[1]SECOP II'!$A$1:$CQ$1,_xlpm.d,'[1]SECOP II'!$A$2:$CQ$94,_xlpm.r,INDEX(_xlpm.d,0,MATCH("Referencia del Contrato",_xlpm.h,0)),INDEX(_xlpm.d,MATCH(_xlpm.c,_xlpm.r,0),MATCH("URLProceso",_xlpm.h,0))),"")</f>
        <v>https://community.secop.gov.co/Public/Tendering/OpportunityDetail/Index?noticeUID=CO1.NTC.9528300&amp;isFromPublicArea=True&amp;isModal=true&amp;asPopupView=true</v>
      </c>
      <c r="T57" s="22" t="str">
        <f>IFERROR(_xlfn.LET(_xlpm.h,'[1]SECOP II'!$A$1:$CQ$1,_xlpm.d,'[1]SECOP II'!$A$2:$CQ$94,_xlpm.r,INDEX(_xlpm.d,0,MATCH("Referencia del Contrato",_xlpm.h,0)),INDEX(_xlpm.d,MATCH("CONTRATO 56 DE 2026",_xlpm.r,0),MATCH("Estado Contrato",_xlpm.h,0))),"")</f>
        <v>En ejecución</v>
      </c>
      <c r="U57" s="10" t="str">
        <f>[1]Contratos!C57</f>
        <v>PJ</v>
      </c>
      <c r="V57" s="10" t="str">
        <f>[1]Contratos!I57</f>
        <v>GESTIÓN JURÍDICA</v>
      </c>
      <c r="W57" s="23" t="str">
        <f>[1]Contratos!J57</f>
        <v>VICTOR SANDOVAL</v>
      </c>
      <c r="X57" s="24" cm="1">
        <f t="array" ref="X57">IFERROR(VLOOKUP(W57,[1]COORD!$A$27:$B$67, 2, FALSE),[1]COORD!$B$27:$B$67)</f>
        <v>1026264211</v>
      </c>
      <c r="Y57" s="25" t="s">
        <v>57</v>
      </c>
      <c r="Z57" s="26">
        <v>830070346</v>
      </c>
      <c r="AA57" s="27" cm="1">
        <f t="array" ref="AA57">IF(Y57&lt;&gt;"NIT","N/A",IF(OR(Z57="",Z57="N/A"),"N/A",IF(ISERROR(VALUE(IF(ISNUMBER(FIND("-",TEXT(Z57,"@"))),LEFT(TEXT(Z57,"@"),FIND("-",TEXT(Z57,"@"))-1),TEXT(Z57,"@")))),"N/A",IF(MOD(SUMPRODUCT(VALUE(MID(TEXT(VALUE(IF(ISNUMBER(FIND("-",TEXT(Z57,"@"))),LEFT(TEXT(Z57,"@"),FIND("-",TEXT(Z57,"@"))-1),TEXT(Z57,"@"))),"000000000000000"),{15,14,13,12,11,10,9,8,7,6,5,4,3,2,1},1)),{3,7,13,17,19,23,29,37,41,43,47,53,59,67,71}),11)=0,0,IF(MOD(SUMPRODUCT(VALUE(MID(TEXT(VALUE(IF(ISNUMBER(FIND("-",TEXT(Z57,"@"))),LEFT(TEXT(Z57,"@"),FIND("-",TEXT(Z57,"@"))-1),TEXT(Z57,"@"))),"000000000000000"),{15,14,13,12,11,10,9,8,7,6,5,4,3,2,1},1)),{3,7,13,17,19,23,29,37,41,43,47,53,59,67,71}),11)=1,1,11-MOD(SUMPRODUCT(VALUE(MID(TEXT(VALUE(IF(ISNUMBER(FIND("-",TEXT(Z57,"@"))),LEFT(TEXT(Z57,"@"),FIND("-",TEXT(Z57,"@"))-1),TEXT(Z57,"@"))),"000000000000000"),{15,14,13,12,11,10,9,8,7,6,5,4,3,2,1},1)),{3,7,13,17,19,23,29,37,41,43,47,53,59,67,71}),11))))))</f>
        <v>3</v>
      </c>
      <c r="AB57" s="27">
        <v>80161501</v>
      </c>
      <c r="AC57" s="29" t="str">
        <f>[1]Contratos!Z57</f>
        <v>N/A</v>
      </c>
      <c r="AD57" s="30">
        <f t="shared" si="3"/>
        <v>314</v>
      </c>
      <c r="AE57" s="31" t="s">
        <v>37</v>
      </c>
      <c r="AF57" s="31" t="str" cm="1">
        <f t="array" ref="AF57">IF(AG57="","",IFERROR(_xlfn.LET(_xlpm.x,INDEX([1]RP!$Z$2:$Z$706,MATCH(AG57&amp;"",[1]RP!$A$2:$A$706&amp;"",0)),IF(_xlpm.x="","",_xlpm.x)),""))</f>
        <v>5626</v>
      </c>
      <c r="AG57" s="31" cm="1">
        <f t="array" ref="AG57">IF(A57="","",IFERROR(_xlfn.LET(_xlpm.rp,[1]RP!$A$2:$A$706,_xlpm.dt,IFERROR(DATE(--LEFT([1]RP!$B$2:$B$706,4),--MID([1]RP!$B$2:$B$706,6,2),--MID([1]RP!$B$2:$B$706,9,2)),0),_xlpm.qid,UPPER(SUBSTITUTE(SUBSTITUTE(SUBSTITUTE(SUBSTITUTE([1]RP!$Q$2:$Q$706,".",""),"-","")," ",""),"O","0")),_xlpm.eid,UPPER(SUBSTITUTE(SUBSTITUTE(SUBSTITUTE(SUBSTITUTE(Z57,".",""),"-","")," ",""),"O","0")),_xlpm.qnm,UPPER(SUBSTITUTE(SUBSTITUTE(SUBSTITUTE(SUBSTITUTE(SUBSTITUTE([1]RP!$R$2:$R$706,".",""),"-","")," ",""),"Á","A"),"É","E")),_xlpm.enm,UPPER(SUBSTITUTE(SUBSTITUTE(SUBSTITUTE(SUBSTITUTE(SUBSTITUTE(B57,".",""),"-",""),"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57,"CONTRATO ")," DE")&amp;"/2026",_xlpm.dm,--ISNUMBER(SEARCH(_xlpm.num,_xlpm.sup)),_xlpm.dif,IF(_xlpm.ok,(1-_xlpm.dm)*1000000+IF(AND(ISNUMBER(M57),M57&gt;0),ABS(_xlpm.dt-M57),0),1E+99),_xlpm.md,MIN(_xlpm.dif),INDEX(_xlfn._xlws.FILTER(_xlpm.rp,(_xlpm.ok&gt;0)*(_xlpm.dif=_xlpm.md)),1)),""))</f>
        <v>9026</v>
      </c>
      <c r="AH57" s="32" cm="1">
        <f t="array" ref="AH57">IF(AF57="","",IFERROR(_xlfn.LET(_xlpm.x,INDEX([1]CDP!$B$2:$B$322,MATCH(AF57&amp;"",[1]CDP!$A$2:$A$322&amp;"",0)),IF(ISNUMBER(_xlpm.x),_xlpm.x,DATE(--LEFT(_xlpm.x,4),--MID(_xlpm.x,6,2),--MID(_xlpm.x,9,2)))),""))</f>
        <v>46030</v>
      </c>
    </row>
    <row r="58" spans="1:34" ht="61.5" customHeight="1" x14ac:dyDescent="0.35">
      <c r="A58" s="1" t="str">
        <f>[1]Contratos!A58</f>
        <v>CONTRATO 57 DE 2026</v>
      </c>
      <c r="B58" s="10" t="str">
        <f>[1]Contratos!B58</f>
        <v>NOVATOURS LTDA</v>
      </c>
      <c r="C58" s="10" t="str">
        <f>[1]Contratos!E58</f>
        <v>Selección Abreviada Subasta Inversa</v>
      </c>
      <c r="D58" s="10" t="s">
        <v>112</v>
      </c>
      <c r="E58" s="11" t="str">
        <f>[1]Contratos!F58</f>
        <v>Contratar el suministro de tiquetes aéreos nacionales e internacionales necesarios para el desarrollo de las actividades de la Comisión de Regulación de Comunicaciones (CRC), a través de una agencia de viajes.</v>
      </c>
      <c r="F58" s="12">
        <v>392500000</v>
      </c>
      <c r="G58" s="13">
        <f>[1]Contratos!G58</f>
        <v>392500000</v>
      </c>
      <c r="H58" s="14" t="str">
        <f>IFERROR(VLOOKUP(A58, [1]Otrosí!A:F, 6, FALSE), "0")</f>
        <v>0</v>
      </c>
      <c r="I58" s="13">
        <f t="shared" si="0"/>
        <v>392500000</v>
      </c>
      <c r="J58" s="15">
        <f>IFERROR(_xlfn.LET(_xlpm.x,_xlfn.LET(_xlpm.n,--_xlfn.TEXTBEFORE(_xlfn.TEXTAFTER(A58,"CONTRATO ")," DE"),_xlpm.c,"CONTRATO "&amp;TEXT(_xlpm.n,"00")&amp;" DE 2026",_xlpm.h,'[1]SECOP II'!$A$1:$CQ$1,_xlpm.d,'[1]SECOP II'!$A$2:$CQ$94,_xlpm.r,INDEX(_xlpm.d,0,MATCH("Referencia del Contrato",_xlpm.h,0)),INDEX(_xlpm.d,MATCH(_xlpm.c,_xlpm.r,0),MATCH("Valor Pagado",_xlpm.h,0))),_xlfn.NUMBERVALUE(SUBSTITUTE(_xlpm.x,"$",""),".",",")),"")</f>
        <v>307645032</v>
      </c>
      <c r="K58" s="16">
        <f t="shared" si="1"/>
        <v>84854968</v>
      </c>
      <c r="L58" s="17">
        <f t="shared" si="2"/>
        <v>0.78380899872611465</v>
      </c>
      <c r="M58" s="18">
        <f>[1]Contratos!O58</f>
        <v>46058</v>
      </c>
      <c r="N58" s="18">
        <f>[1]Contratos!P58</f>
        <v>46062</v>
      </c>
      <c r="O58" s="18">
        <f>[1]Contratos!Q58</f>
        <v>46387</v>
      </c>
      <c r="P58" s="18" t="str">
        <f>IFERROR(VLOOKUP(A58, [1]Otrosí!A:L, 7, FALSE), "N/A")</f>
        <v>N/A</v>
      </c>
      <c r="Q58" s="19" t="str">
        <f>IFERROR(_xlfn.LET(_xlpm.h,'[1]SECOP II'!$A$1:$CQ$1,_xlpm.d,'[1]SECOP II'!$A$2:$CQ$94,_xlpm.r,INDEX(_xlpm.d,0,MATCH("Referencia del Contrato",_xlpm.h,0)),INDEX(_xlpm.d,MATCH("CONTRATO 57 DE 2026",_xlpm.r,0),MATCH("Tipo de Contrato",_xlpm.h,0))),"")</f>
        <v>Suministros</v>
      </c>
      <c r="R58" s="20" t="str">
        <f>IFERROR(_xlfn.LET(_xlpm.n,--_xlfn.TEXTBEFORE(_xlfn.TEXTAFTER(A58,"CONTRATO ")," DE"),_xlpm.c,"CONTRATO "&amp;TEXT(_xlpm.n,"00")&amp;" DE 2026",_xlpm.h,'[1]SECOP II'!$A$1:$CQ$1,_xlpm.d,'[1]SECOP II'!$A$2:$CQ$94,_xlpm.r,INDEX(_xlpm.d,0,MATCH("Referencia del Contrato",_xlpm.h,0)),INDEX(_xlpm.d,MATCH(_xlpm.c,_xlpm.r,0),MATCH("Destino Gasto",_xlpm.h,0))),"")</f>
        <v>Inversión</v>
      </c>
      <c r="S58" s="34" t="str">
        <f>IFERROR(_xlfn.LET(_xlpm.n,--_xlfn.TEXTBEFORE(_xlfn.TEXTAFTER(A58,"CONTRATO ")," DE"),_xlpm.c,"CONTRATO "&amp;TEXT(_xlpm.n,"00")&amp;" DE 2026",_xlpm.h,'[1]SECOP II'!$A$1:$CQ$1,_xlpm.d,'[1]SECOP II'!$A$2:$CQ$94,_xlpm.r,INDEX(_xlpm.d,0,MATCH("Referencia del Contrato",_xlpm.h,0)),INDEX(_xlpm.d,MATCH(_xlpm.c,_xlpm.r,0),MATCH("URLProceso",_xlpm.h,0))),"")</f>
        <v>https://community.secop.gov.co/Public/Tendering/OpportunityDetail/Index?noticeUID=CO1.NTC.9510142&amp;isFromPublicArea=True&amp;isModal=true&amp;asPopupView=true</v>
      </c>
      <c r="T58" s="22" t="str">
        <f>IFERROR(_xlfn.LET(_xlpm.h,'[1]SECOP II'!$A$1:$CQ$1,_xlpm.d,'[1]SECOP II'!$A$2:$CQ$94,_xlpm.r,INDEX(_xlpm.d,0,MATCH("Referencia del Contrato",_xlpm.h,0)),INDEX(_xlpm.d,MATCH("CONTRATO 57 DE 2026",_xlpm.r,0),MATCH("Estado Contrato",_xlpm.h,0))),"")</f>
        <v>En ejecución</v>
      </c>
      <c r="U58" s="10" t="str">
        <f>[1]Contratos!C58</f>
        <v>PJ</v>
      </c>
      <c r="V58" s="10" t="str">
        <f>[1]Contratos!I58</f>
        <v>RELACIONES CON GRUPOS DE VALOR</v>
      </c>
      <c r="W58" s="23" t="str">
        <f>[1]Contratos!J58</f>
        <v>YAMILE MATEUS</v>
      </c>
      <c r="X58" s="24" cm="1">
        <f t="array" ref="X58">IFERROR(VLOOKUP(W58,[1]COORD!$A$27:$B$67, 2, FALSE),[1]COORD!$B$27:$B$67)</f>
        <v>46676269</v>
      </c>
      <c r="Y58" s="25" t="s">
        <v>57</v>
      </c>
      <c r="Z58" s="26">
        <v>800003442</v>
      </c>
      <c r="AA58" s="27" cm="1">
        <f t="array" ref="AA58">IF(Y58&lt;&gt;"NIT","N/A",IF(OR(Z58="",Z58="N/A"),"N/A",IF(ISERROR(VALUE(IF(ISNUMBER(FIND("-",TEXT(Z58,"@"))),LEFT(TEXT(Z58,"@"),FIND("-",TEXT(Z58,"@"))-1),TEXT(Z58,"@")))),"N/A",IF(MOD(SUMPRODUCT(VALUE(MID(TEXT(VALUE(IF(ISNUMBER(FIND("-",TEXT(Z58,"@"))),LEFT(TEXT(Z58,"@"),FIND("-",TEXT(Z58,"@"))-1),TEXT(Z58,"@"))),"000000000000000"),{15,14,13,12,11,10,9,8,7,6,5,4,3,2,1},1)),{3,7,13,17,19,23,29,37,41,43,47,53,59,67,71}),11)=0,0,IF(MOD(SUMPRODUCT(VALUE(MID(TEXT(VALUE(IF(ISNUMBER(FIND("-",TEXT(Z58,"@"))),LEFT(TEXT(Z58,"@"),FIND("-",TEXT(Z58,"@"))-1),TEXT(Z58,"@"))),"000000000000000"),{15,14,13,12,11,10,9,8,7,6,5,4,3,2,1},1)),{3,7,13,17,19,23,29,37,41,43,47,53,59,67,71}),11)=1,1,11-MOD(SUMPRODUCT(VALUE(MID(TEXT(VALUE(IF(ISNUMBER(FIND("-",TEXT(Z58,"@"))),LEFT(TEXT(Z58,"@"),FIND("-",TEXT(Z58,"@"))-1),TEXT(Z58,"@"))),"000000000000000"),{15,14,13,12,11,10,9,8,7,6,5,4,3,2,1},1)),{3,7,13,17,19,23,29,37,41,43,47,53,59,67,71}),11))))))</f>
        <v>8</v>
      </c>
      <c r="AB58" s="27">
        <v>90121502</v>
      </c>
      <c r="AC58" s="29" t="str">
        <f>[1]Contratos!Z58</f>
        <v>N/A</v>
      </c>
      <c r="AD58" s="30">
        <f t="shared" si="3"/>
        <v>329</v>
      </c>
      <c r="AE58" s="31" t="s">
        <v>37</v>
      </c>
      <c r="AF58" s="31" t="str" cm="1">
        <f t="array" ref="AF58">IF(AG58="","",IFERROR(_xlfn.LET(_xlpm.x,INDEX([1]RP!$Z$2:$Z$706,MATCH(AG58&amp;"",[1]RP!$A$2:$A$706&amp;"",0)),IF(_xlpm.x="","",_xlpm.x)),""))</f>
        <v>2226</v>
      </c>
      <c r="AG58" s="31" cm="1">
        <f t="array" ref="AG58">IF(A58="","",IFERROR(_xlfn.LET(_xlpm.rp,[1]RP!$A$2:$A$706,_xlpm.dt,IFERROR(DATE(--LEFT([1]RP!$B$2:$B$706,4),--MID([1]RP!$B$2:$B$706,6,2),--MID([1]RP!$B$2:$B$706,9,2)),0),_xlpm.qid,UPPER(SUBSTITUTE(SUBSTITUTE(SUBSTITUTE(SUBSTITUTE([1]RP!$Q$2:$Q$706,".",""),"-","")," ",""),"O","0")),_xlpm.eid,UPPER(SUBSTITUTE(SUBSTITUTE(SUBSTITUTE(SUBSTITUTE(Z58,".",""),"-","")," ",""),"O","0")),_xlpm.qnm,UPPER(SUBSTITUTE(SUBSTITUTE(SUBSTITUTE(SUBSTITUTE(SUBSTITUTE([1]RP!$R$2:$R$706,".",""),"-","")," ",""),"Á","A"),"É","E")),_xlpm.enm,UPPER(SUBSTITUTE(SUBSTITUTE(SUBSTITUTE(SUBSTITUTE(SUBSTITUTE(B58,".",""),"-",""),"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58,"CONTRATO ")," DE")&amp;"/2026",_xlpm.dm,--ISNUMBER(SEARCH(_xlpm.num,_xlpm.sup)),_xlpm.dif,IF(_xlpm.ok,(1-_xlpm.dm)*1000000+IF(AND(ISNUMBER(M58),M58&gt;0),ABS(_xlpm.dt-M58),0),1E+99),_xlpm.md,MIN(_xlpm.dif),INDEX(_xlfn._xlws.FILTER(_xlpm.rp,(_xlpm.ok&gt;0)*(_xlpm.dif=_xlpm.md)),1)),""))</f>
        <v>9426</v>
      </c>
      <c r="AH58" s="32" cm="1">
        <f t="array" ref="AH58">IF(AF58="","",IFERROR(_xlfn.LET(_xlpm.x,INDEX([1]CDP!$B$2:$B$322,MATCH(AF58&amp;"",[1]CDP!$A$2:$A$322&amp;"",0)),IF(ISNUMBER(_xlpm.x),_xlpm.x,DATE(--LEFT(_xlpm.x,4),--MID(_xlpm.x,6,2),--MID(_xlpm.x,9,2)))),""))</f>
        <v>46029</v>
      </c>
    </row>
    <row r="59" spans="1:34" ht="61.5" customHeight="1" x14ac:dyDescent="0.35">
      <c r="A59" s="1" t="str">
        <f>[1]Contratos!A59</f>
        <v>CONTRATO 58 DE 2026</v>
      </c>
      <c r="B59" s="10" t="str">
        <f>[1]Contratos!B59</f>
        <v>ORGANIZACIÓN IGP S.A.S.</v>
      </c>
      <c r="C59" s="10" t="str">
        <f>[1]Contratos!E59</f>
        <v>Mínima cuantía</v>
      </c>
      <c r="D59" s="10" t="s">
        <v>113</v>
      </c>
      <c r="E59" s="11" t="str">
        <f>[1]Contratos!F59</f>
        <v>Contratar una persona natural o jurídica que provea la prestación de los servicios de conductor de reemplazo para la Comisión de Regulación de Comunicaciones – CRC, en los casos que la entidad lo requiera, durante el 2026.</v>
      </c>
      <c r="F59" s="12">
        <v>15277080</v>
      </c>
      <c r="G59" s="13">
        <f>[1]Contratos!G59</f>
        <v>11828210.460000001</v>
      </c>
      <c r="H59" s="14" t="str">
        <f>IFERROR(VLOOKUP(A59, [1]Otrosí!A:F, 6, FALSE), "0")</f>
        <v>0</v>
      </c>
      <c r="I59" s="13">
        <f t="shared" si="0"/>
        <v>11828210.460000001</v>
      </c>
      <c r="J59" s="15">
        <f>IFERROR(_xlfn.LET(_xlpm.x,_xlfn.LET(_xlpm.n,--_xlfn.TEXTBEFORE(_xlfn.TEXTAFTER(A59,"CONTRATO ")," DE"),_xlpm.c,"CONTRATO "&amp;TEXT(_xlpm.n,"00")&amp;" DE 2026",_xlpm.h,'[1]SECOP II'!$A$1:$CQ$1,_xlpm.d,'[1]SECOP II'!$A$2:$CQ$94,_xlpm.r,INDEX(_xlpm.d,0,MATCH("Referencia del Contrato",_xlpm.h,0)),INDEX(_xlpm.d,MATCH(_xlpm.c,_xlpm.r,0),MATCH("Valor Pagado",_xlpm.h,0))),_xlfn.NUMBERVALUE(SUBSTITUTE(_xlpm.x,"$",""),".",",")),"")</f>
        <v>3817286.1</v>
      </c>
      <c r="K59" s="16">
        <f t="shared" si="1"/>
        <v>8010924.3600000013</v>
      </c>
      <c r="L59" s="17">
        <f t="shared" si="2"/>
        <v>0.3227272724736418</v>
      </c>
      <c r="M59" s="18">
        <f>[1]Contratos!O59</f>
        <v>46062</v>
      </c>
      <c r="N59" s="18">
        <f>[1]Contratos!P59</f>
        <v>46064</v>
      </c>
      <c r="O59" s="18">
        <f>[1]Contratos!Q59</f>
        <v>46371</v>
      </c>
      <c r="P59" s="18" t="str">
        <f>IFERROR(VLOOKUP(A59, [1]Otrosí!A:L, 7, FALSE), "N/A")</f>
        <v>N/A</v>
      </c>
      <c r="Q59" s="19" t="str">
        <f>IFERROR(_xlfn.LET(_xlpm.h,'[1]SECOP II'!$A$1:$CQ$1,_xlpm.d,'[1]SECOP II'!$A$2:$CQ$94,_xlpm.r,INDEX(_xlpm.d,0,MATCH("Referencia del Contrato",_xlpm.h,0)),INDEX(_xlpm.d,MATCH("CONTRATO 58 DE 2026",_xlpm.r,0),MATCH("Tipo de Contrato",_xlpm.h,0))),"")</f>
        <v>Prestación de servicios</v>
      </c>
      <c r="R59" s="20" t="str">
        <f>IFERROR(_xlfn.LET(_xlpm.n,--_xlfn.TEXTBEFORE(_xlfn.TEXTAFTER(A59,"CONTRATO ")," DE"),_xlpm.c,"CONTRATO "&amp;TEXT(_xlpm.n,"00")&amp;" DE 2026",_xlpm.h,'[1]SECOP II'!$A$1:$CQ$1,_xlpm.d,'[1]SECOP II'!$A$2:$CQ$94,_xlpm.r,INDEX(_xlpm.d,0,MATCH("Referencia del Contrato",_xlpm.h,0)),INDEX(_xlpm.d,MATCH(_xlpm.c,_xlpm.r,0),MATCH("Destino Gasto",_xlpm.h,0))),"")</f>
        <v>Funcionamiento</v>
      </c>
      <c r="S59" s="34" t="str">
        <f>IFERROR(_xlfn.LET(_xlpm.n,--_xlfn.TEXTBEFORE(_xlfn.TEXTAFTER(A59,"CONTRATO ")," DE"),_xlpm.c,"CONTRATO "&amp;TEXT(_xlpm.n,"00")&amp;" DE 2026",_xlpm.h,'[1]SECOP II'!$A$1:$CQ$1,_xlpm.d,'[1]SECOP II'!$A$2:$CQ$94,_xlpm.r,INDEX(_xlpm.d,0,MATCH("Referencia del Contrato",_xlpm.h,0)),INDEX(_xlpm.d,MATCH(_xlpm.c,_xlpm.r,0),MATCH("URLProceso",_xlpm.h,0))),"")</f>
        <v>https://community.secop.gov.co/Public/Tendering/OpportunityDetail/Index?noticeUID=CO1.NTC.9516591&amp;isFromPublicArea=True&amp;isModal=true&amp;asPopupView=true</v>
      </c>
      <c r="T59" s="22" t="str">
        <f>IFERROR(_xlfn.LET(_xlpm.h,'[1]SECOP II'!$A$1:$CQ$1,_xlpm.d,'[1]SECOP II'!$A$2:$CQ$94,_xlpm.r,INDEX(_xlpm.d,0,MATCH("Referencia del Contrato",_xlpm.h,0)),INDEX(_xlpm.d,MATCH("CONTRATO 58 DE 2026",_xlpm.r,0),MATCH("Estado Contrato",_xlpm.h,0))),"")</f>
        <v>En ejecución</v>
      </c>
      <c r="U59" s="10" t="str">
        <f>[1]Contratos!C59</f>
        <v>PJ</v>
      </c>
      <c r="V59" s="10" t="str">
        <f>[1]Contratos!I59</f>
        <v>GESTIÓN ADM. Y FIN</v>
      </c>
      <c r="W59" s="23" t="str">
        <f>[1]Contratos!J59</f>
        <v>DIANA WILCHES</v>
      </c>
      <c r="X59" s="24" cm="1">
        <f t="array" ref="X59">IFERROR(VLOOKUP(W59,[1]COORD!$A$27:$B$67, 2, FALSE),[1]COORD!$B$27:$B$67)</f>
        <v>40049758</v>
      </c>
      <c r="Y59" s="25" t="s">
        <v>57</v>
      </c>
      <c r="Z59" s="26">
        <v>900777884</v>
      </c>
      <c r="AA59" s="27" cm="1">
        <f t="array" ref="AA59">IF(Y59&lt;&gt;"NIT","N/A",IF(OR(Z59="",Z59="N/A"),"N/A",IF(ISERROR(VALUE(IF(ISNUMBER(FIND("-",TEXT(Z59,"@"))),LEFT(TEXT(Z59,"@"),FIND("-",TEXT(Z59,"@"))-1),TEXT(Z59,"@")))),"N/A",IF(MOD(SUMPRODUCT(VALUE(MID(TEXT(VALUE(IF(ISNUMBER(FIND("-",TEXT(Z59,"@"))),LEFT(TEXT(Z59,"@"),FIND("-",TEXT(Z59,"@"))-1),TEXT(Z59,"@"))),"000000000000000"),{15,14,13,12,11,10,9,8,7,6,5,4,3,2,1},1)),{3,7,13,17,19,23,29,37,41,43,47,53,59,67,71}),11)=0,0,IF(MOD(SUMPRODUCT(VALUE(MID(TEXT(VALUE(IF(ISNUMBER(FIND("-",TEXT(Z59,"@"))),LEFT(TEXT(Z59,"@"),FIND("-",TEXT(Z59,"@"))-1),TEXT(Z59,"@"))),"000000000000000"),{15,14,13,12,11,10,9,8,7,6,5,4,3,2,1},1)),{3,7,13,17,19,23,29,37,41,43,47,53,59,67,71}),11)=1,1,11-MOD(SUMPRODUCT(VALUE(MID(TEXT(VALUE(IF(ISNUMBER(FIND("-",TEXT(Z59,"@"))),LEFT(TEXT(Z59,"@"),FIND("-",TEXT(Z59,"@"))-1),TEXT(Z59,"@"))),"000000000000000"),{15,14,13,12,11,10,9,8,7,6,5,4,3,2,1},1)),{3,7,13,17,19,23,29,37,41,43,47,53,59,67,71}),11))))))</f>
        <v>3</v>
      </c>
      <c r="AB59" s="27">
        <v>80111612</v>
      </c>
      <c r="AC59" s="29" t="str">
        <f>[1]Contratos!Z59</f>
        <v>N/A</v>
      </c>
      <c r="AD59" s="30">
        <f t="shared" si="3"/>
        <v>309</v>
      </c>
      <c r="AE59" s="31" t="s">
        <v>46</v>
      </c>
      <c r="AF59" s="31" t="str" cm="1">
        <f t="array" ref="AF59">IF(AG59="","",IFERROR(_xlfn.LET(_xlpm.x,INDEX([1]RP!$Z$2:$Z$706,MATCH(AG59&amp;"",[1]RP!$A$2:$A$706&amp;"",0)),IF(_xlpm.x="","",_xlpm.x)),""))</f>
        <v>2126</v>
      </c>
      <c r="AG59" s="31" cm="1">
        <f t="array" ref="AG59">IF(A59="","",IFERROR(_xlfn.LET(_xlpm.rp,[1]RP!$A$2:$A$706,_xlpm.dt,IFERROR(DATE(--LEFT([1]RP!$B$2:$B$706,4),--MID([1]RP!$B$2:$B$706,6,2),--MID([1]RP!$B$2:$B$706,9,2)),0),_xlpm.qid,UPPER(SUBSTITUTE(SUBSTITUTE(SUBSTITUTE(SUBSTITUTE([1]RP!$Q$2:$Q$706,".",""),"-","")," ",""),"O","0")),_xlpm.eid,UPPER(SUBSTITUTE(SUBSTITUTE(SUBSTITUTE(SUBSTITUTE(Z59,".",""),"-","")," ",""),"O","0")),_xlpm.qnm,UPPER(SUBSTITUTE(SUBSTITUTE(SUBSTITUTE(SUBSTITUTE(SUBSTITUTE([1]RP!$R$2:$R$706,".",""),"-","")," ",""),"Á","A"),"É","E")),_xlpm.enm,UPPER(SUBSTITUTE(SUBSTITUTE(SUBSTITUTE(SUBSTITUTE(SUBSTITUTE(B59,".",""),"-",""),"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59,"CONTRATO ")," DE")&amp;"/2026",_xlpm.dm,--ISNUMBER(SEARCH(_xlpm.num,_xlpm.sup)),_xlpm.dif,IF(_xlpm.ok,(1-_xlpm.dm)*1000000+IF(AND(ISNUMBER(M59),M59&gt;0),ABS(_xlpm.dt-M59),0),1E+99),_xlpm.md,MIN(_xlpm.dif),INDEX(_xlfn._xlws.FILTER(_xlpm.rp,(_xlpm.ok&gt;0)*(_xlpm.dif=_xlpm.md)),1)),""))</f>
        <v>9626</v>
      </c>
      <c r="AH59" s="32" cm="1">
        <f t="array" ref="AH59">IF(AF59="","",IFERROR(_xlfn.LET(_xlpm.x,INDEX([1]CDP!$B$2:$B$322,MATCH(AF59&amp;"",[1]CDP!$A$2:$A$322&amp;"",0)),IF(ISNUMBER(_xlpm.x),_xlpm.x,DATE(--LEFT(_xlpm.x,4),--MID(_xlpm.x,6,2),--MID(_xlpm.x,9,2)))),""))</f>
        <v>46029</v>
      </c>
    </row>
    <row r="60" spans="1:34" ht="61.5" customHeight="1" x14ac:dyDescent="0.35">
      <c r="A60" s="1" t="str">
        <f>[1]Contratos!A60</f>
        <v>CONTRATO 59 DE 2026</v>
      </c>
      <c r="B60" s="10" t="str">
        <f>[1]Contratos!B60</f>
        <v>GRUPO EDS AUTOGAS S.A.S.</v>
      </c>
      <c r="C60" s="10" t="str">
        <f>[1]Contratos!E60</f>
        <v>Mínima cuantía</v>
      </c>
      <c r="D60" s="10" t="s">
        <v>114</v>
      </c>
      <c r="E60" s="11" t="str">
        <f>[1]Contratos!F60</f>
        <v>suministro de combustible (gasolina corriente) para los vehículos de propiedad de la Comisión de Regulación de Comunicaciones – CRC</v>
      </c>
      <c r="F60" s="12">
        <v>31930000</v>
      </c>
      <c r="G60" s="13">
        <f>[1]Contratos!G60</f>
        <v>31930000</v>
      </c>
      <c r="H60" s="14" t="str">
        <f>IFERROR(VLOOKUP(A60, [1]Otrosí!A:F, 6, FALSE), "0")</f>
        <v>0</v>
      </c>
      <c r="I60" s="13">
        <f t="shared" si="0"/>
        <v>31930000</v>
      </c>
      <c r="J60" s="15">
        <f>IFERROR(_xlfn.LET(_xlpm.x,_xlfn.LET(_xlpm.n,--_xlfn.TEXTBEFORE(_xlfn.TEXTAFTER(A60,"CONTRATO ")," DE"),_xlpm.c,"CONTRATO "&amp;TEXT(_xlpm.n,"00")&amp;" DE 2026",_xlpm.h,'[1]SECOP II'!$A$1:$CQ$1,_xlpm.d,'[1]SECOP II'!$A$2:$CQ$94,_xlpm.r,INDEX(_xlpm.d,0,MATCH("Referencia del Contrato",_xlpm.h,0)),INDEX(_xlpm.d,MATCH(_xlpm.c,_xlpm.r,0),MATCH("Valor Pagado",_xlpm.h,0))),_xlfn.NUMBERVALUE(SUBSTITUTE(_xlpm.x,"$",""),".",",")),"")</f>
        <v>16404901.99</v>
      </c>
      <c r="K60" s="16">
        <f t="shared" si="1"/>
        <v>15525098.01</v>
      </c>
      <c r="L60" s="17">
        <f t="shared" si="2"/>
        <v>0.51377707453805199</v>
      </c>
      <c r="M60" s="18">
        <f>[1]Contratos!O60</f>
        <v>46077</v>
      </c>
      <c r="N60" s="18">
        <f>[1]Contratos!P60</f>
        <v>46083</v>
      </c>
      <c r="O60" s="18">
        <f>[1]Contratos!Q60</f>
        <v>46387</v>
      </c>
      <c r="P60" s="18" t="str">
        <f>IFERROR(VLOOKUP(A60, [1]Otrosí!A:L, 7, FALSE), "N/A")</f>
        <v>N/A</v>
      </c>
      <c r="Q60" s="19" t="str">
        <f>IFERROR(_xlfn.LET(_xlpm.h,'[1]SECOP II'!$A$1:$CQ$1,_xlpm.d,'[1]SECOP II'!$A$2:$CQ$94,_xlpm.r,INDEX(_xlpm.d,0,MATCH("Referencia del Contrato",_xlpm.h,0)),INDEX(_xlpm.d,MATCH("CONTRATO 59 DE 2026",_xlpm.r,0),MATCH("Tipo de Contrato",_xlpm.h,0))),"")</f>
        <v>Suministros</v>
      </c>
      <c r="R60" s="20" t="str">
        <f>IFERROR(_xlfn.LET(_xlpm.n,--_xlfn.TEXTBEFORE(_xlfn.TEXTAFTER(A60,"CONTRATO ")," DE"),_xlpm.c,"CONTRATO "&amp;TEXT(_xlpm.n,"00")&amp;" DE 2026",_xlpm.h,'[1]SECOP II'!$A$1:$CQ$1,_xlpm.d,'[1]SECOP II'!$A$2:$CQ$94,_xlpm.r,INDEX(_xlpm.d,0,MATCH("Referencia del Contrato",_xlpm.h,0)),INDEX(_xlpm.d,MATCH(_xlpm.c,_xlpm.r,0),MATCH("Destino Gasto",_xlpm.h,0))),"")</f>
        <v>Funcionamiento</v>
      </c>
      <c r="S60" s="34" t="str">
        <f>IFERROR(_xlfn.LET(_xlpm.n,--_xlfn.TEXTBEFORE(_xlfn.TEXTAFTER(A60,"CONTRATO ")," DE"),_xlpm.c,"CONTRATO "&amp;TEXT(_xlpm.n,"00")&amp;" DE 2026",_xlpm.h,'[1]SECOP II'!$A$1:$CQ$1,_xlpm.d,'[1]SECOP II'!$A$2:$CQ$94,_xlpm.r,INDEX(_xlpm.d,0,MATCH("Referencia del Contrato",_xlpm.h,0)),INDEX(_xlpm.d,MATCH(_xlpm.c,_xlpm.r,0),MATCH("URLProceso",_xlpm.h,0))),"")</f>
        <v>https://community.secop.gov.co/Public/Tendering/OpportunityDetail/Index?noticeUID=CO1.NTC.10001131&amp;isFromPublicArea=True&amp;isModal=true&amp;asPopupView=true</v>
      </c>
      <c r="T60" s="22" t="str">
        <f>IFERROR(_xlfn.LET(_xlpm.h,'[1]SECOP II'!$A$1:$CQ$1,_xlpm.d,'[1]SECOP II'!$A$2:$CQ$94,_xlpm.r,INDEX(_xlpm.d,0,MATCH("Referencia del Contrato",_xlpm.h,0)),INDEX(_xlpm.d,MATCH("CONTRATO 59 DE 2026",_xlpm.r,0),MATCH("Estado Contrato",_xlpm.h,0))),"")</f>
        <v>En ejecución</v>
      </c>
      <c r="U60" s="10" t="str">
        <f>[1]Contratos!C60</f>
        <v>PJ</v>
      </c>
      <c r="V60" s="10" t="str">
        <f>[1]Contratos!I60</f>
        <v>GESTIÓN ADM. Y FIN</v>
      </c>
      <c r="W60" s="23" t="str">
        <f>[1]Contratos!J60</f>
        <v>DIANA WILCHES</v>
      </c>
      <c r="X60" s="24" cm="1">
        <f t="array" ref="X60">IFERROR(VLOOKUP(W60,[1]COORD!$A$27:$B$67, 2, FALSE),[1]COORD!$B$27:$B$67)</f>
        <v>40049758</v>
      </c>
      <c r="Y60" s="25" t="s">
        <v>57</v>
      </c>
      <c r="Z60" s="26">
        <v>900459737</v>
      </c>
      <c r="AA60" s="27" cm="1">
        <f t="array" ref="AA60">IF(Y60&lt;&gt;"NIT","N/A",IF(OR(Z60="",Z60="N/A"),"N/A",IF(ISERROR(VALUE(IF(ISNUMBER(FIND("-",TEXT(Z60,"@"))),LEFT(TEXT(Z60,"@"),FIND("-",TEXT(Z60,"@"))-1),TEXT(Z60,"@")))),"N/A",IF(MOD(SUMPRODUCT(VALUE(MID(TEXT(VALUE(IF(ISNUMBER(FIND("-",TEXT(Z60,"@"))),LEFT(TEXT(Z60,"@"),FIND("-",TEXT(Z60,"@"))-1),TEXT(Z60,"@"))),"000000000000000"),{15,14,13,12,11,10,9,8,7,6,5,4,3,2,1},1)),{3,7,13,17,19,23,29,37,41,43,47,53,59,67,71}),11)=0,0,IF(MOD(SUMPRODUCT(VALUE(MID(TEXT(VALUE(IF(ISNUMBER(FIND("-",TEXT(Z60,"@"))),LEFT(TEXT(Z60,"@"),FIND("-",TEXT(Z60,"@"))-1),TEXT(Z60,"@"))),"000000000000000"),{15,14,13,12,11,10,9,8,7,6,5,4,3,2,1},1)),{3,7,13,17,19,23,29,37,41,43,47,53,59,67,71}),11)=1,1,11-MOD(SUMPRODUCT(VALUE(MID(TEXT(VALUE(IF(ISNUMBER(FIND("-",TEXT(Z60,"@"))),LEFT(TEXT(Z60,"@"),FIND("-",TEXT(Z60,"@"))-1),TEXT(Z60,"@"))),"000000000000000"),{15,14,13,12,11,10,9,8,7,6,5,4,3,2,1},1)),{3,7,13,17,19,23,29,37,41,43,47,53,59,67,71}),11))))))</f>
        <v>5</v>
      </c>
      <c r="AB60" s="27">
        <v>78181701</v>
      </c>
      <c r="AC60" s="29" t="str">
        <f>[1]Contratos!Z60</f>
        <v>N/A</v>
      </c>
      <c r="AD60" s="30">
        <f t="shared" si="3"/>
        <v>310</v>
      </c>
      <c r="AE60" s="31" t="s">
        <v>46</v>
      </c>
      <c r="AF60" s="31" t="str" cm="1">
        <f t="array" ref="AF60">IF(AG60="","",IFERROR(_xlfn.LET(_xlpm.x,INDEX([1]RP!$Z$2:$Z$706,MATCH(AG60&amp;"",[1]RP!$A$2:$A$706&amp;"",0)),IF(_xlpm.x="","",_xlpm.x)),""))</f>
        <v>3426</v>
      </c>
      <c r="AG60" s="31" cm="1">
        <f t="array" ref="AG60">IF(A60="","",IFERROR(_xlfn.LET(_xlpm.rp,[1]RP!$A$2:$A$706,_xlpm.dt,IFERROR(DATE(--LEFT([1]RP!$B$2:$B$706,4),--MID([1]RP!$B$2:$B$706,6,2),--MID([1]RP!$B$2:$B$706,9,2)),0),_xlpm.qid,UPPER(SUBSTITUTE(SUBSTITUTE(SUBSTITUTE(SUBSTITUTE([1]RP!$Q$2:$Q$706,".",""),"-","")," ",""),"O","0")),_xlpm.eid,UPPER(SUBSTITUTE(SUBSTITUTE(SUBSTITUTE(SUBSTITUTE(Z60,".",""),"-","")," ",""),"O","0")),_xlpm.qnm,UPPER(SUBSTITUTE(SUBSTITUTE(SUBSTITUTE(SUBSTITUTE(SUBSTITUTE([1]RP!$R$2:$R$706,".",""),"-","")," ",""),"Á","A"),"É","E")),_xlpm.enm,UPPER(SUBSTITUTE(SUBSTITUTE(SUBSTITUTE(SUBSTITUTE(SUBSTITUTE(B60,".",""),"-",""),"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60,"CONTRATO ")," DE")&amp;"/2026",_xlpm.dm,--ISNUMBER(SEARCH(_xlpm.num,_xlpm.sup)),_xlpm.dif,IF(_xlpm.ok,(1-_xlpm.dm)*1000000+IF(AND(ISNUMBER(M60),M60&gt;0),ABS(_xlpm.dt-M60),0),1E+99),_xlpm.md,MIN(_xlpm.dif),INDEX(_xlfn._xlws.FILTER(_xlpm.rp,(_xlpm.ok&gt;0)*(_xlpm.dif=_xlpm.md)),1)),""))</f>
        <v>11126</v>
      </c>
      <c r="AH60" s="32" cm="1">
        <f t="array" ref="AH60">IF(AF60="","",IFERROR(_xlfn.LET(_xlpm.x,INDEX([1]CDP!$B$2:$B$322,MATCH(AF60&amp;"",[1]CDP!$A$2:$A$322&amp;"",0)),IF(ISNUMBER(_xlpm.x),_xlpm.x,DATE(--LEFT(_xlpm.x,4),--MID(_xlpm.x,6,2),--MID(_xlpm.x,9,2)))),""))</f>
        <v>46030</v>
      </c>
    </row>
    <row r="61" spans="1:34" ht="61.5" customHeight="1" x14ac:dyDescent="0.35">
      <c r="A61" s="1" t="str">
        <f>[1]Contratos!A61</f>
        <v>CONTRATO 60 DE 2026</v>
      </c>
      <c r="B61" s="10" t="str">
        <f>[1]Contratos!B61</f>
        <v>PORTÁTIL S.A.S.</v>
      </c>
      <c r="C61" s="10" t="str">
        <f>[1]Contratos!E61</f>
        <v>Mínima cuantía</v>
      </c>
      <c r="D61" s="10" t="s">
        <v>115</v>
      </c>
      <c r="E61" s="11" t="str">
        <f>[1]Contratos!F61</f>
        <v>Renovación de la suscripción por el término de un (1) año de una (1) licencia de la Suite de Adobe Creative Cloud Pro con contrato de licenciamiento VIP para la Comisión de Regulación de Comunicaciones.</v>
      </c>
      <c r="F61" s="12">
        <v>4648649</v>
      </c>
      <c r="G61" s="13">
        <f>[1]Contratos!G61</f>
        <v>4055223.4</v>
      </c>
      <c r="H61" s="14" t="str">
        <f>IFERROR(VLOOKUP(A61, [1]Otrosí!A:F, 6, FALSE), "0")</f>
        <v>0</v>
      </c>
      <c r="I61" s="13">
        <f t="shared" si="0"/>
        <v>4055223.4</v>
      </c>
      <c r="J61" s="15">
        <f>IFERROR(_xlfn.LET(_xlpm.x,_xlfn.LET(_xlpm.n,--_xlfn.TEXTBEFORE(_xlfn.TEXTAFTER(A61,"CONTRATO ")," DE"),_xlpm.c,"CONTRATO "&amp;TEXT(_xlpm.n,"00")&amp;" DE 2026",_xlpm.h,'[1]SECOP II'!$A$1:$CQ$1,_xlpm.d,'[1]SECOP II'!$A$2:$CQ$94,_xlpm.r,INDEX(_xlpm.d,0,MATCH("Referencia del Contrato",_xlpm.h,0)),INDEX(_xlpm.d,MATCH(_xlpm.c,_xlpm.r,0),MATCH("Valor Pagado",_xlpm.h,0))),_xlfn.NUMBERVALUE(SUBSTITUTE(_xlpm.x,"$",""),".",",")),"")</f>
        <v>4055243.4</v>
      </c>
      <c r="K61" s="16">
        <f t="shared" si="1"/>
        <v>-20</v>
      </c>
      <c r="L61" s="17">
        <f t="shared" si="2"/>
        <v>1.0000049319107795</v>
      </c>
      <c r="M61" s="18">
        <f>[1]Contratos!O61</f>
        <v>46084</v>
      </c>
      <c r="N61" s="18">
        <f>[1]Contratos!P61</f>
        <v>46091</v>
      </c>
      <c r="O61" s="18">
        <f>[1]Contratos!Q61</f>
        <v>46455</v>
      </c>
      <c r="P61" s="18" t="str">
        <f>IFERROR(VLOOKUP(A61, [1]Otrosí!A:L, 7, FALSE), "N/A")</f>
        <v>N/A</v>
      </c>
      <c r="Q61" s="19" t="str">
        <f>IFERROR(_xlfn.LET(_xlpm.h,'[1]SECOP II'!$A$1:$CQ$1,_xlpm.d,'[1]SECOP II'!$A$2:$CQ$94,_xlpm.r,INDEX(_xlpm.d,0,MATCH("Referencia del Contrato",_xlpm.h,0)),INDEX(_xlpm.d,MATCH("CONTRATO 60 DE 2026",_xlpm.r,0),MATCH("Tipo de Contrato",_xlpm.h,0))),"")</f>
        <v>Prestación de servicios</v>
      </c>
      <c r="R61" s="20" t="str">
        <f>IFERROR(_xlfn.LET(_xlpm.n,--_xlfn.TEXTBEFORE(_xlfn.TEXTAFTER(A61,"CONTRATO ")," DE"),_xlpm.c,"CONTRATO "&amp;TEXT(_xlpm.n,"00")&amp;" DE 2026",_xlpm.h,'[1]SECOP II'!$A$1:$CQ$1,_xlpm.d,'[1]SECOP II'!$A$2:$CQ$94,_xlpm.r,INDEX(_xlpm.d,0,MATCH("Referencia del Contrato",_xlpm.h,0)),INDEX(_xlpm.d,MATCH(_xlpm.c,_xlpm.r,0),MATCH("Destino Gasto",_xlpm.h,0))),"")</f>
        <v>Inversión</v>
      </c>
      <c r="S61" s="34" t="str">
        <f>IFERROR(_xlfn.LET(_xlpm.n,--_xlfn.TEXTBEFORE(_xlfn.TEXTAFTER(A61,"CONTRATO ")," DE"),_xlpm.c,"CONTRATO "&amp;TEXT(_xlpm.n,"00")&amp;" DE 2026",_xlpm.h,'[1]SECOP II'!$A$1:$CQ$1,_xlpm.d,'[1]SECOP II'!$A$2:$CQ$94,_xlpm.r,INDEX(_xlpm.d,0,MATCH("Referencia del Contrato",_xlpm.h,0)),INDEX(_xlpm.d,MATCH(_xlpm.c,_xlpm.r,0),MATCH("URLProceso",_xlpm.h,0))),"")</f>
        <v>https://community.secop.gov.co/Public/Tendering/OpportunityDetail/Index?noticeUID=CO1.NTC.10016666&amp;isFromPublicArea=True&amp;isModal=true&amp;asPopupView=true</v>
      </c>
      <c r="T61" s="22" t="str">
        <f>IFERROR(_xlfn.LET(_xlpm.h,'[1]SECOP II'!$A$1:$CQ$1,_xlpm.d,'[1]SECOP II'!$A$2:$CQ$94,_xlpm.r,INDEX(_xlpm.d,0,MATCH("Referencia del Contrato",_xlpm.h,0)),INDEX(_xlpm.d,MATCH("CONTRATO 60 DE 2026",_xlpm.r,0),MATCH("Estado Contrato",_xlpm.h,0))),"")</f>
        <v>En ejecución</v>
      </c>
      <c r="U61" s="10" t="str">
        <f>[1]Contratos!C61</f>
        <v>PJ</v>
      </c>
      <c r="V61" s="10" t="str">
        <f>[1]Contratos!I61</f>
        <v>TECNOLOGÍAS Y SIST. DE INF.</v>
      </c>
      <c r="W61" s="23" t="str">
        <f>[1]Contratos!J61</f>
        <v>EDWIN ALBERTO VARGAS</v>
      </c>
      <c r="X61" s="24" cm="1">
        <f t="array" ref="X61">IFERROR(VLOOKUP(W61,[1]COORD!$A$27:$B$67, 2, FALSE),[1]COORD!$B$27:$B$67)</f>
        <v>7173927</v>
      </c>
      <c r="Y61" s="25" t="s">
        <v>57</v>
      </c>
      <c r="Z61" s="26">
        <v>811005902</v>
      </c>
      <c r="AA61" s="27" cm="1">
        <f t="array" ref="AA61">IF(Y61&lt;&gt;"NIT","N/A",IF(OR(Z61="",Z61="N/A"),"N/A",IF(ISERROR(VALUE(IF(ISNUMBER(FIND("-",TEXT(Z61,"@"))),LEFT(TEXT(Z61,"@"),FIND("-",TEXT(Z61,"@"))-1),TEXT(Z61,"@")))),"N/A",IF(MOD(SUMPRODUCT(VALUE(MID(TEXT(VALUE(IF(ISNUMBER(FIND("-",TEXT(Z61,"@"))),LEFT(TEXT(Z61,"@"),FIND("-",TEXT(Z61,"@"))-1),TEXT(Z61,"@"))),"000000000000000"),{15,14,13,12,11,10,9,8,7,6,5,4,3,2,1},1)),{3,7,13,17,19,23,29,37,41,43,47,53,59,67,71}),11)=0,0,IF(MOD(SUMPRODUCT(VALUE(MID(TEXT(VALUE(IF(ISNUMBER(FIND("-",TEXT(Z61,"@"))),LEFT(TEXT(Z61,"@"),FIND("-",TEXT(Z61,"@"))-1),TEXT(Z61,"@"))),"000000000000000"),{15,14,13,12,11,10,9,8,7,6,5,4,3,2,1},1)),{3,7,13,17,19,23,29,37,41,43,47,53,59,67,71}),11)=1,1,11-MOD(SUMPRODUCT(VALUE(MID(TEXT(VALUE(IF(ISNUMBER(FIND("-",TEXT(Z61,"@"))),LEFT(TEXT(Z61,"@"),FIND("-",TEXT(Z61,"@"))-1),TEXT(Z61,"@"))),"000000000000000"),{15,14,13,12,11,10,9,8,7,6,5,4,3,2,1},1)),{3,7,13,17,19,23,29,37,41,43,47,53,59,67,71}),11))))))</f>
        <v>3</v>
      </c>
      <c r="AB61" s="27">
        <v>81112501</v>
      </c>
      <c r="AC61" s="29" t="str">
        <f>[1]Contratos!Z61</f>
        <v>N/A</v>
      </c>
      <c r="AD61" s="30">
        <f t="shared" si="3"/>
        <v>371</v>
      </c>
      <c r="AE61" s="31" t="s">
        <v>58</v>
      </c>
      <c r="AF61" s="31" t="str" cm="1">
        <f t="array" ref="AF61">IF(AG61="","",IFERROR(_xlfn.LET(_xlpm.x,INDEX([1]RP!$Z$2:$Z$706,MATCH(AG61&amp;"",[1]RP!$A$2:$A$706&amp;"",0)),IF(_xlpm.x="","",_xlpm.x)),""))</f>
        <v>8526</v>
      </c>
      <c r="AG61" s="31" cm="1">
        <f t="array" ref="AG61">IF(A61="","",IFERROR(_xlfn.LET(_xlpm.rp,[1]RP!$A$2:$A$706,_xlpm.dt,IFERROR(DATE(--LEFT([1]RP!$B$2:$B$706,4),--MID([1]RP!$B$2:$B$706,6,2),--MID([1]RP!$B$2:$B$706,9,2)),0),_xlpm.qid,UPPER(SUBSTITUTE(SUBSTITUTE(SUBSTITUTE(SUBSTITUTE([1]RP!$Q$2:$Q$706,".",""),"-","")," ",""),"O","0")),_xlpm.eid,UPPER(SUBSTITUTE(SUBSTITUTE(SUBSTITUTE(SUBSTITUTE(Z61,".",""),"-","")," ",""),"O","0")),_xlpm.qnm,UPPER(SUBSTITUTE(SUBSTITUTE(SUBSTITUTE(SUBSTITUTE(SUBSTITUTE([1]RP!$R$2:$R$706,".",""),"-","")," ",""),"Á","A"),"É","E")),_xlpm.enm,UPPER(SUBSTITUTE(SUBSTITUTE(SUBSTITUTE(SUBSTITUTE(SUBSTITUTE(B61,".",""),"-",""),"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61,"CONTRATO ")," DE")&amp;"/2026",_xlpm.dm,--ISNUMBER(SEARCH(_xlpm.num,_xlpm.sup)),_xlpm.dif,IF(_xlpm.ok,(1-_xlpm.dm)*1000000+IF(AND(ISNUMBER(M61),M61&gt;0),ABS(_xlpm.dt-M61),0),1E+99),_xlpm.md,MIN(_xlpm.dif),INDEX(_xlfn._xlws.FILTER(_xlpm.rp,(_xlpm.ok&gt;0)*(_xlpm.dif=_xlpm.md)),1)),""))</f>
        <v>11626</v>
      </c>
      <c r="AH61" s="32" cm="1">
        <f t="array" ref="AH61">IF(AF61="","",IFERROR(_xlfn.LET(_xlpm.x,INDEX([1]CDP!$B$2:$B$322,MATCH(AF61&amp;"",[1]CDP!$A$2:$A$322&amp;"",0)),IF(ISNUMBER(_xlpm.x),_xlpm.x,DATE(--LEFT(_xlpm.x,4),--MID(_xlpm.x,6,2),--MID(_xlpm.x,9,2)))),""))</f>
        <v>46064</v>
      </c>
    </row>
    <row r="62" spans="1:34" ht="61.5" customHeight="1" x14ac:dyDescent="0.35">
      <c r="A62" s="1" t="str">
        <f>[1]Contratos!A62</f>
        <v>CONTRATO 61 DE 2026</v>
      </c>
      <c r="B62" s="10" t="str">
        <f>[1]Contratos!B62</f>
        <v>CREAR IMAGEN SAS</v>
      </c>
      <c r="C62" s="10" t="str">
        <f>[1]Contratos!E62</f>
        <v>Mínima cuantía</v>
      </c>
      <c r="D62" s="10" t="s">
        <v>116</v>
      </c>
      <c r="E62" s="11" t="str">
        <f>[1]Contratos!F62</f>
        <v>Contratar la prestación del servicio de una plataforma tecnológica tipo SaaS, que permita a la Comisión de Regulación de Comunicaciones gestionar el envío de comunicaciones institucionales masivas a través de correo electrónico durante la vigencia 2026, incluyendo el acceso a la plataforma, soporte técnico y el almacenamiento asociado durante la ejecución del contrato.</v>
      </c>
      <c r="F62" s="12">
        <v>6256550</v>
      </c>
      <c r="G62" s="13">
        <f>[1]Contratos!G62</f>
        <v>2987274</v>
      </c>
      <c r="H62" s="14" t="str">
        <f>IFERROR(VLOOKUP(A62, [1]Otrosí!A:F, 6, FALSE), "0")</f>
        <v>0</v>
      </c>
      <c r="I62" s="13">
        <f t="shared" si="0"/>
        <v>2987274</v>
      </c>
      <c r="J62" s="15">
        <f>IFERROR(_xlfn.LET(_xlpm.x,_xlfn.LET(_xlpm.n,--_xlfn.TEXTBEFORE(_xlfn.TEXTAFTER(A62,"CONTRATO ")," DE"),_xlpm.c,"CONTRATO "&amp;TEXT(_xlpm.n,"00")&amp;" DE 2026",_xlpm.h,'[1]SECOP II'!$A$1:$CQ$1,_xlpm.d,'[1]SECOP II'!$A$2:$CQ$94,_xlpm.r,INDEX(_xlpm.d,0,MATCH("Referencia del Contrato",_xlpm.h,0)),INDEX(_xlpm.d,MATCH(_xlpm.c,_xlpm.r,0),MATCH("Valor Pagado",_xlpm.h,0))),_xlfn.NUMBERVALUE(SUBSTITUTE(_xlpm.x,"$",""),".",",")),"")</f>
        <v>1762490</v>
      </c>
      <c r="K62" s="16">
        <f t="shared" si="1"/>
        <v>1224784</v>
      </c>
      <c r="L62" s="17">
        <f t="shared" si="2"/>
        <v>0.5899994443094273</v>
      </c>
      <c r="M62" s="18">
        <f>[1]Contratos!O62</f>
        <v>46084</v>
      </c>
      <c r="N62" s="18">
        <f>[1]Contratos!P62</f>
        <v>46085</v>
      </c>
      <c r="O62" s="18">
        <f>[1]Contratos!Q62</f>
        <v>46387</v>
      </c>
      <c r="P62" s="18" t="str">
        <f>IFERROR(VLOOKUP(A62, [1]Otrosí!A:L, 7, FALSE), "N/A")</f>
        <v>N/A</v>
      </c>
      <c r="Q62" s="19" t="str">
        <f>IFERROR(_xlfn.LET(_xlpm.h,'[1]SECOP II'!$A$1:$CQ$1,_xlpm.d,'[1]SECOP II'!$A$2:$CQ$94,_xlpm.r,INDEX(_xlpm.d,0,MATCH("Referencia del Contrato",_xlpm.h,0)),INDEX(_xlpm.d,MATCH("CONTRATO 61 DE 2026",_xlpm.r,0),MATCH("Tipo de Contrato",_xlpm.h,0))),"")</f>
        <v>Prestación de servicios</v>
      </c>
      <c r="R62" s="20" t="str">
        <f>IFERROR(_xlfn.LET(_xlpm.n,--_xlfn.TEXTBEFORE(_xlfn.TEXTAFTER(A62,"CONTRATO ")," DE"),_xlpm.c,"CONTRATO "&amp;TEXT(_xlpm.n,"00")&amp;" DE 2026",_xlpm.h,'[1]SECOP II'!$A$1:$CQ$1,_xlpm.d,'[1]SECOP II'!$A$2:$CQ$94,_xlpm.r,INDEX(_xlpm.d,0,MATCH("Referencia del Contrato",_xlpm.h,0)),INDEX(_xlpm.d,MATCH(_xlpm.c,_xlpm.r,0),MATCH("Destino Gasto",_xlpm.h,0))),"")</f>
        <v>Inversión</v>
      </c>
      <c r="S62" s="34" t="str">
        <f>IFERROR(_xlfn.LET(_xlpm.n,--_xlfn.TEXTBEFORE(_xlfn.TEXTAFTER(A62,"CONTRATO ")," DE"),_xlpm.c,"CONTRATO "&amp;TEXT(_xlpm.n,"00")&amp;" DE 2026",_xlpm.h,'[1]SECOP II'!$A$1:$CQ$1,_xlpm.d,'[1]SECOP II'!$A$2:$CQ$94,_xlpm.r,INDEX(_xlpm.d,0,MATCH("Referencia del Contrato",_xlpm.h,0)),INDEX(_xlpm.d,MATCH(_xlpm.c,_xlpm.r,0),MATCH("URLProceso",_xlpm.h,0))),"")</f>
        <v>https://community.secop.gov.co/Public/Tendering/OpportunityDetail/Index?noticeUID=CO1.NTC.10015202&amp;isFromPublicArea=True&amp;isModal=true&amp;asPopupView=true</v>
      </c>
      <c r="T62" s="22" t="str">
        <f>IFERROR(_xlfn.LET(_xlpm.h,'[1]SECOP II'!$A$1:$CQ$1,_xlpm.d,'[1]SECOP II'!$A$2:$CQ$94,_xlpm.r,INDEX(_xlpm.d,0,MATCH("Referencia del Contrato",_xlpm.h,0)),INDEX(_xlpm.d,MATCH("CONTRATO 61 DE 2026",_xlpm.r,0),MATCH("Estado Contrato",_xlpm.h,0))),"")</f>
        <v>En ejecución</v>
      </c>
      <c r="U62" s="10" t="str">
        <f>[1]Contratos!C62</f>
        <v>PJ</v>
      </c>
      <c r="V62" s="10" t="str">
        <f>[1]Contratos!I62</f>
        <v>RELACIONES CON GRUPOS DE VALOR</v>
      </c>
      <c r="W62" s="23" t="str">
        <f>[1]Contratos!J62</f>
        <v>ROCIO QUINCHE</v>
      </c>
      <c r="X62" s="24" cm="1">
        <f t="array" ref="X62">IFERROR(VLOOKUP(W62,[1]COORD!$A$27:$B$67, 2, FALSE),[1]COORD!$B$27:$B$67)</f>
        <v>1032417388</v>
      </c>
      <c r="Y62" s="25" t="s">
        <v>57</v>
      </c>
      <c r="Z62" s="26">
        <v>900457310</v>
      </c>
      <c r="AA62" s="27" cm="1">
        <f t="array" ref="AA62">IF(Y62&lt;&gt;"NIT","N/A",IF(OR(Z62="",Z62="N/A"),"N/A",IF(ISERROR(VALUE(IF(ISNUMBER(FIND("-",TEXT(Z62,"@"))),LEFT(TEXT(Z62,"@"),FIND("-",TEXT(Z62,"@"))-1),TEXT(Z62,"@")))),"N/A",IF(MOD(SUMPRODUCT(VALUE(MID(TEXT(VALUE(IF(ISNUMBER(FIND("-",TEXT(Z62,"@"))),LEFT(TEXT(Z62,"@"),FIND("-",TEXT(Z62,"@"))-1),TEXT(Z62,"@"))),"000000000000000"),{15,14,13,12,11,10,9,8,7,6,5,4,3,2,1},1)),{3,7,13,17,19,23,29,37,41,43,47,53,59,67,71}),11)=0,0,IF(MOD(SUMPRODUCT(VALUE(MID(TEXT(VALUE(IF(ISNUMBER(FIND("-",TEXT(Z62,"@"))),LEFT(TEXT(Z62,"@"),FIND("-",TEXT(Z62,"@"))-1),TEXT(Z62,"@"))),"000000000000000"),{15,14,13,12,11,10,9,8,7,6,5,4,3,2,1},1)),{3,7,13,17,19,23,29,37,41,43,47,53,59,67,71}),11)=1,1,11-MOD(SUMPRODUCT(VALUE(MID(TEXT(VALUE(IF(ISNUMBER(FIND("-",TEXT(Z62,"@"))),LEFT(TEXT(Z62,"@"),FIND("-",TEXT(Z62,"@"))-1),TEXT(Z62,"@"))),"000000000000000"),{15,14,13,12,11,10,9,8,7,6,5,4,3,2,1},1)),{3,7,13,17,19,23,29,37,41,43,47,53,59,67,71}),11))))))</f>
        <v>5</v>
      </c>
      <c r="AB62" s="27">
        <v>81161601</v>
      </c>
      <c r="AC62" s="29" t="str">
        <f>[1]Contratos!Z62</f>
        <v>N/A</v>
      </c>
      <c r="AD62" s="30">
        <f t="shared" si="3"/>
        <v>303</v>
      </c>
      <c r="AE62" s="31" t="s">
        <v>58</v>
      </c>
      <c r="AF62" s="31" t="str" cm="1">
        <f t="array" ref="AF62">IF(AG62="","",IFERROR(_xlfn.LET(_xlpm.x,INDEX([1]RP!$Z$2:$Z$706,MATCH(AG62&amp;"",[1]RP!$A$2:$A$706&amp;"",0)),IF(_xlpm.x="","",_xlpm.x)),""))</f>
        <v>8626</v>
      </c>
      <c r="AG62" s="31" cm="1">
        <f t="array" ref="AG62">IF(A62="","",IFERROR(_xlfn.LET(_xlpm.rp,[1]RP!$A$2:$A$706,_xlpm.dt,IFERROR(DATE(--LEFT([1]RP!$B$2:$B$706,4),--MID([1]RP!$B$2:$B$706,6,2),--MID([1]RP!$B$2:$B$706,9,2)),0),_xlpm.qid,UPPER(SUBSTITUTE(SUBSTITUTE(SUBSTITUTE(SUBSTITUTE([1]RP!$Q$2:$Q$706,".",""),"-","")," ",""),"O","0")),_xlpm.eid,UPPER(SUBSTITUTE(SUBSTITUTE(SUBSTITUTE(SUBSTITUTE(Z62,".",""),"-","")," ",""),"O","0")),_xlpm.qnm,UPPER(SUBSTITUTE(SUBSTITUTE(SUBSTITUTE(SUBSTITUTE(SUBSTITUTE([1]RP!$R$2:$R$706,".",""),"-","")," ",""),"Á","A"),"É","E")),_xlpm.enm,UPPER(SUBSTITUTE(SUBSTITUTE(SUBSTITUTE(SUBSTITUTE(SUBSTITUTE(B62,".",""),"-",""),"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62,"CONTRATO ")," DE")&amp;"/2026",_xlpm.dm,--ISNUMBER(SEARCH(_xlpm.num,_xlpm.sup)),_xlpm.dif,IF(_xlpm.ok,(1-_xlpm.dm)*1000000+IF(AND(ISNUMBER(M62),M62&gt;0),ABS(_xlpm.dt-M62),0),1E+99),_xlpm.md,MIN(_xlpm.dif),INDEX(_xlfn._xlws.FILTER(_xlpm.rp,(_xlpm.ok&gt;0)*(_xlpm.dif=_xlpm.md)),1)),""))</f>
        <v>11526</v>
      </c>
      <c r="AH62" s="32" cm="1">
        <f t="array" ref="AH62">IF(AF62="","",IFERROR(_xlfn.LET(_xlpm.x,INDEX([1]CDP!$B$2:$B$322,MATCH(AF62&amp;"",[1]CDP!$A$2:$A$322&amp;"",0)),IF(ISNUMBER(_xlpm.x),_xlpm.x,DATE(--LEFT(_xlpm.x,4),--MID(_xlpm.x,6,2),--MID(_xlpm.x,9,2)))),""))</f>
        <v>46064</v>
      </c>
    </row>
    <row r="63" spans="1:34" ht="61.5" customHeight="1" x14ac:dyDescent="0.35">
      <c r="A63" s="1" t="str">
        <f>[1]Contratos!A63</f>
        <v>CONTRATO 62 DE 2026</v>
      </c>
      <c r="B63" s="10" t="str">
        <f>[1]Contratos!B63</f>
        <v>PORTÁTIL S.A.S.</v>
      </c>
      <c r="C63" s="10" t="str">
        <f>[1]Contratos!E63</f>
        <v>Mínima cuantía</v>
      </c>
      <c r="D63" s="10" t="s">
        <v>117</v>
      </c>
      <c r="E63" s="11" t="str">
        <f>[1]Contratos!F63</f>
        <v>Renovación de la suscripción por un (1) año de los servicios del software de editor de archivos PDF Adobe Acrobat PRO For Teams con contrato de licenciamiento VIP para la Comisión de Regulación de Comunicaciones.</v>
      </c>
      <c r="F63" s="12">
        <v>26663225</v>
      </c>
      <c r="G63" s="13">
        <f>[1]Contratos!G63</f>
        <v>21776085</v>
      </c>
      <c r="H63" s="14" t="str">
        <f>IFERROR(VLOOKUP(A63, [1]Otrosí!A:F, 6, FALSE), "0")</f>
        <v>0</v>
      </c>
      <c r="I63" s="13">
        <f t="shared" si="0"/>
        <v>21776085</v>
      </c>
      <c r="J63" s="15">
        <f>IFERROR(_xlfn.LET(_xlpm.x,_xlfn.LET(_xlpm.n,--_xlfn.TEXTBEFORE(_xlfn.TEXTAFTER(A63,"CONTRATO ")," DE"),_xlpm.c,"CONTRATO "&amp;TEXT(_xlpm.n,"00")&amp;" DE 2026",_xlpm.h,'[1]SECOP II'!$A$1:$CQ$1,_xlpm.d,'[1]SECOP II'!$A$2:$CQ$94,_xlpm.r,INDEX(_xlpm.d,0,MATCH("Referencia del Contrato",_xlpm.h,0)),INDEX(_xlpm.d,MATCH(_xlpm.c,_xlpm.r,0),MATCH("Valor Pagado",_xlpm.h,0))),_xlfn.NUMBERVALUE(SUBSTITUTE(_xlpm.x,"$",""),".",",")),"")</f>
        <v>21776085</v>
      </c>
      <c r="K63" s="16">
        <f t="shared" si="1"/>
        <v>0</v>
      </c>
      <c r="L63" s="17">
        <f t="shared" si="2"/>
        <v>1</v>
      </c>
      <c r="M63" s="18">
        <f>[1]Contratos!O63</f>
        <v>46085</v>
      </c>
      <c r="N63" s="18">
        <f>[1]Contratos!P63</f>
        <v>46086</v>
      </c>
      <c r="O63" s="18">
        <f>[1]Contratos!Q63</f>
        <v>46450</v>
      </c>
      <c r="P63" s="18" t="str">
        <f>IFERROR(VLOOKUP(A63, [1]Otrosí!A:L, 7, FALSE), "N/A")</f>
        <v>N/A</v>
      </c>
      <c r="Q63" s="19" t="str">
        <f>IFERROR(_xlfn.LET(_xlpm.h,'[1]SECOP II'!$A$1:$CQ$1,_xlpm.d,'[1]SECOP II'!$A$2:$CQ$94,_xlpm.r,INDEX(_xlpm.d,0,MATCH("Referencia del Contrato",_xlpm.h,0)),INDEX(_xlpm.d,MATCH("CONTRATO 62 DE 2026",_xlpm.r,0),MATCH("Tipo de Contrato",_xlpm.h,0))),"")</f>
        <v>Prestación de servicios</v>
      </c>
      <c r="R63" s="20" t="str">
        <f>IFERROR(_xlfn.LET(_xlpm.n,--_xlfn.TEXTBEFORE(_xlfn.TEXTAFTER(A63,"CONTRATO ")," DE"),_xlpm.c,"CONTRATO "&amp;TEXT(_xlpm.n,"00")&amp;" DE 2026",_xlpm.h,'[1]SECOP II'!$A$1:$CQ$1,_xlpm.d,'[1]SECOP II'!$A$2:$CQ$94,_xlpm.r,INDEX(_xlpm.d,0,MATCH("Referencia del Contrato",_xlpm.h,0)),INDEX(_xlpm.d,MATCH(_xlpm.c,_xlpm.r,0),MATCH("Destino Gasto",_xlpm.h,0))),"")</f>
        <v>Inversión</v>
      </c>
      <c r="S63" s="34" t="str">
        <f>IFERROR(_xlfn.LET(_xlpm.n,--_xlfn.TEXTBEFORE(_xlfn.TEXTAFTER(A63,"CONTRATO ")," DE"),_xlpm.c,"CONTRATO "&amp;TEXT(_xlpm.n,"00")&amp;" DE 2026",_xlpm.h,'[1]SECOP II'!$A$1:$CQ$1,_xlpm.d,'[1]SECOP II'!$A$2:$CQ$94,_xlpm.r,INDEX(_xlpm.d,0,MATCH("Referencia del Contrato",_xlpm.h,0)),INDEX(_xlpm.d,MATCH(_xlpm.c,_xlpm.r,0),MATCH("URLProceso",_xlpm.h,0))),"")</f>
        <v>https://community.secop.gov.co/Public/Tendering/OpportunityDetail/Index?noticeUID=CO1.NTC.10022306&amp;isFromPublicArea=True&amp;isModal=true&amp;asPopupView=true</v>
      </c>
      <c r="T63" s="22" t="str">
        <f>IFERROR(_xlfn.LET(_xlpm.h,'[1]SECOP II'!$A$1:$CQ$1,_xlpm.d,'[1]SECOP II'!$A$2:$CQ$94,_xlpm.r,INDEX(_xlpm.d,0,MATCH("Referencia del Contrato",_xlpm.h,0)),INDEX(_xlpm.d,MATCH("CONTRATO 62 DE 2026",_xlpm.r,0),MATCH("Estado Contrato",_xlpm.h,0))),"")</f>
        <v>En ejecución</v>
      </c>
      <c r="U63" s="10" t="str">
        <f>[1]Contratos!C63</f>
        <v>PJ</v>
      </c>
      <c r="V63" s="10" t="str">
        <f>[1]Contratos!I63</f>
        <v>TECNOLOGÍAS Y SIST. DE INF.</v>
      </c>
      <c r="W63" s="23" t="str">
        <f>[1]Contratos!J63</f>
        <v>EDWIN ALBERTO VARGAS</v>
      </c>
      <c r="X63" s="24" cm="1">
        <f t="array" ref="X63">IFERROR(VLOOKUP(W63,[1]COORD!$A$27:$B$67, 2, FALSE),[1]COORD!$B$27:$B$67)</f>
        <v>7173927</v>
      </c>
      <c r="Y63" s="25" t="s">
        <v>57</v>
      </c>
      <c r="Z63" s="26">
        <v>811005902</v>
      </c>
      <c r="AA63" s="27" cm="1">
        <f t="array" ref="AA63">IF(Y63&lt;&gt;"NIT","N/A",IF(OR(Z63="",Z63="N/A"),"N/A",IF(ISERROR(VALUE(IF(ISNUMBER(FIND("-",TEXT(Z63,"@"))),LEFT(TEXT(Z63,"@"),FIND("-",TEXT(Z63,"@"))-1),TEXT(Z63,"@")))),"N/A",IF(MOD(SUMPRODUCT(VALUE(MID(TEXT(VALUE(IF(ISNUMBER(FIND("-",TEXT(Z63,"@"))),LEFT(TEXT(Z63,"@"),FIND("-",TEXT(Z63,"@"))-1),TEXT(Z63,"@"))),"000000000000000"),{15,14,13,12,11,10,9,8,7,6,5,4,3,2,1},1)),{3,7,13,17,19,23,29,37,41,43,47,53,59,67,71}),11)=0,0,IF(MOD(SUMPRODUCT(VALUE(MID(TEXT(VALUE(IF(ISNUMBER(FIND("-",TEXT(Z63,"@"))),LEFT(TEXT(Z63,"@"),FIND("-",TEXT(Z63,"@"))-1),TEXT(Z63,"@"))),"000000000000000"),{15,14,13,12,11,10,9,8,7,6,5,4,3,2,1},1)),{3,7,13,17,19,23,29,37,41,43,47,53,59,67,71}),11)=1,1,11-MOD(SUMPRODUCT(VALUE(MID(TEXT(VALUE(IF(ISNUMBER(FIND("-",TEXT(Z63,"@"))),LEFT(TEXT(Z63,"@"),FIND("-",TEXT(Z63,"@"))-1),TEXT(Z63,"@"))),"000000000000000"),{15,14,13,12,11,10,9,8,7,6,5,4,3,2,1},1)),{3,7,13,17,19,23,29,37,41,43,47,53,59,67,71}),11))))))</f>
        <v>3</v>
      </c>
      <c r="AB63" s="27">
        <v>81112501</v>
      </c>
      <c r="AC63" s="29" t="str">
        <f>[1]Contratos!Z63</f>
        <v>N/A</v>
      </c>
      <c r="AD63" s="30">
        <f t="shared" si="3"/>
        <v>365</v>
      </c>
      <c r="AE63" s="31" t="s">
        <v>58</v>
      </c>
      <c r="AF63" s="31" t="str" cm="1">
        <f t="array" ref="AF63">IF(AG63="","",IFERROR(_xlfn.LET(_xlpm.x,INDEX([1]RP!$Z$2:$Z$706,MATCH(AG63&amp;"",[1]RP!$A$2:$A$706&amp;"",0)),IF(_xlpm.x="","",_xlpm.x)),""))</f>
        <v>8826</v>
      </c>
      <c r="AG63" s="31" cm="1">
        <f t="array" ref="AG63">IF(A63="","",IFERROR(_xlfn.LET(_xlpm.rp,[1]RP!$A$2:$A$706,_xlpm.dt,IFERROR(DATE(--LEFT([1]RP!$B$2:$B$706,4),--MID([1]RP!$B$2:$B$706,6,2),--MID([1]RP!$B$2:$B$706,9,2)),0),_xlpm.qid,UPPER(SUBSTITUTE(SUBSTITUTE(SUBSTITUTE(SUBSTITUTE([1]RP!$Q$2:$Q$706,".",""),"-","")," ",""),"O","0")),_xlpm.eid,UPPER(SUBSTITUTE(SUBSTITUTE(SUBSTITUTE(SUBSTITUTE(Z63,".",""),"-","")," ",""),"O","0")),_xlpm.qnm,UPPER(SUBSTITUTE(SUBSTITUTE(SUBSTITUTE(SUBSTITUTE(SUBSTITUTE([1]RP!$R$2:$R$706,".",""),"-","")," ",""),"Á","A"),"É","E")),_xlpm.enm,UPPER(SUBSTITUTE(SUBSTITUTE(SUBSTITUTE(SUBSTITUTE(SUBSTITUTE(B63,".",""),"-",""),"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63,"CONTRATO ")," DE")&amp;"/2026",_xlpm.dm,--ISNUMBER(SEARCH(_xlpm.num,_xlpm.sup)),_xlpm.dif,IF(_xlpm.ok,(1-_xlpm.dm)*1000000+IF(AND(ISNUMBER(M63),M63&gt;0),ABS(_xlpm.dt-M63),0),1E+99),_xlpm.md,MIN(_xlpm.dif),INDEX(_xlfn._xlws.FILTER(_xlpm.rp,(_xlpm.ok&gt;0)*(_xlpm.dif=_xlpm.md)),1)),""))</f>
        <v>12826</v>
      </c>
      <c r="AH63" s="32" cm="1">
        <f t="array" ref="AH63">IF(AF63="","",IFERROR(_xlfn.LET(_xlpm.x,INDEX([1]CDP!$B$2:$B$322,MATCH(AF63&amp;"",[1]CDP!$A$2:$A$322&amp;"",0)),IF(ISNUMBER(_xlpm.x),_xlpm.x,DATE(--LEFT(_xlpm.x,4),--MID(_xlpm.x,6,2),--MID(_xlpm.x,9,2)))),""))</f>
        <v>46065</v>
      </c>
    </row>
    <row r="64" spans="1:34" ht="61.5" customHeight="1" x14ac:dyDescent="0.35">
      <c r="A64" s="1" t="str">
        <f>[1]Contratos!A64</f>
        <v>CONTRATO 63 DE 2026</v>
      </c>
      <c r="B64" s="10" t="str">
        <f>[1]Contratos!B64</f>
        <v>BICODE S.A.S</v>
      </c>
      <c r="C64" s="10" t="str">
        <f>[1]Contratos!E64</f>
        <v>Mínima cuantía</v>
      </c>
      <c r="D64" s="10" t="s">
        <v>118</v>
      </c>
      <c r="E64" s="11" t="str">
        <f>[1]Contratos!F64</f>
        <v>Renovar los servicios de Microsoft Azure Suscripción CSP de la Comisión de Regulación de Comunicaciones, con el fin de garantizar recursos tecnológicos que permitan asegurar la disponibilidad y operación de la infraestructura actual; así como el aprovisionamiento de nuevos servicios de computación en la nube que demande el ejercicio misional e institucional de la Entidad y/o el sector de las TICs del país</v>
      </c>
      <c r="F64" s="12">
        <v>48829827</v>
      </c>
      <c r="G64" s="13">
        <f>[1]Contratos!G64</f>
        <v>48829827</v>
      </c>
      <c r="H64" s="14" t="str">
        <f>IFERROR(VLOOKUP(A64, [1]Otrosí!A:F, 6, FALSE), "0")</f>
        <v>0</v>
      </c>
      <c r="I64" s="13">
        <f t="shared" si="0"/>
        <v>48829827</v>
      </c>
      <c r="J64" s="15">
        <f>IFERROR(_xlfn.LET(_xlpm.x,_xlfn.LET(_xlpm.n,--_xlfn.TEXTBEFORE(_xlfn.TEXTAFTER(A64,"CONTRATO ")," DE"),_xlpm.c,"CONTRATO "&amp;TEXT(_xlpm.n,"00")&amp;" DE 2026",_xlpm.h,'[1]SECOP II'!$A$1:$CQ$1,_xlpm.d,'[1]SECOP II'!$A$2:$CQ$94,_xlpm.r,INDEX(_xlpm.d,0,MATCH("Referencia del Contrato",_xlpm.h,0)),INDEX(_xlpm.d,MATCH(_xlpm.c,_xlpm.r,0),MATCH("Valor Pagado",_xlpm.h,0))),_xlfn.NUMBERVALUE(SUBSTITUTE(_xlpm.x,"$",""),".",",")),"")</f>
        <v>42783963.399999999</v>
      </c>
      <c r="K64" s="16">
        <f t="shared" si="1"/>
        <v>6045863.6000000015</v>
      </c>
      <c r="L64" s="17">
        <f t="shared" si="2"/>
        <v>0.87618502928548159</v>
      </c>
      <c r="M64" s="18">
        <f>[1]Contratos!O64</f>
        <v>46087</v>
      </c>
      <c r="N64" s="18">
        <f>[1]Contratos!P64</f>
        <v>46094</v>
      </c>
      <c r="O64" s="18">
        <f>[1]Contratos!Q64</f>
        <v>46104</v>
      </c>
      <c r="P64" s="18" t="str">
        <f>IFERROR(VLOOKUP(A64, [1]Otrosí!A:L, 7, FALSE), "N/A")</f>
        <v>N/A</v>
      </c>
      <c r="Q64" s="19" t="str">
        <f>IFERROR(_xlfn.LET(_xlpm.h,'[1]SECOP II'!$A$1:$CQ$1,_xlpm.d,'[1]SECOP II'!$A$2:$CQ$94,_xlpm.r,INDEX(_xlpm.d,0,MATCH("Referencia del Contrato",_xlpm.h,0)),INDEX(_xlpm.d,MATCH("CONTRATO 63 DE 2026",_xlpm.r,0),MATCH("Tipo de Contrato",_xlpm.h,0))),"")</f>
        <v>Prestación de servicios</v>
      </c>
      <c r="R64" s="20" t="str">
        <f>IFERROR(_xlfn.LET(_xlpm.n,--_xlfn.TEXTBEFORE(_xlfn.TEXTAFTER(A64,"CONTRATO ")," DE"),_xlpm.c,"CONTRATO "&amp;TEXT(_xlpm.n,"00")&amp;" DE 2026",_xlpm.h,'[1]SECOP II'!$A$1:$CQ$1,_xlpm.d,'[1]SECOP II'!$A$2:$CQ$94,_xlpm.r,INDEX(_xlpm.d,0,MATCH("Referencia del Contrato",_xlpm.h,0)),INDEX(_xlpm.d,MATCH(_xlpm.c,_xlpm.r,0),MATCH("Destino Gasto",_xlpm.h,0))),"")</f>
        <v>Inversión</v>
      </c>
      <c r="S64" s="34" t="str">
        <f>IFERROR(_xlfn.LET(_xlpm.n,--_xlfn.TEXTBEFORE(_xlfn.TEXTAFTER(A64,"CONTRATO ")," DE"),_xlpm.c,"CONTRATO "&amp;TEXT(_xlpm.n,"00")&amp;" DE 2026",_xlpm.h,'[1]SECOP II'!$A$1:$CQ$1,_xlpm.d,'[1]SECOP II'!$A$2:$CQ$94,_xlpm.r,INDEX(_xlpm.d,0,MATCH("Referencia del Contrato",_xlpm.h,0)),INDEX(_xlpm.d,MATCH(_xlpm.c,_xlpm.r,0),MATCH("URLProceso",_xlpm.h,0))),"")</f>
        <v>https://community.secop.gov.co/Public/Tendering/OpportunityDetail/Index?noticeUID=CO1.NTC.10053312&amp;isFromPublicArea=True&amp;isModal=true&amp;asPopupView=true</v>
      </c>
      <c r="T64" s="22" t="str">
        <f>IFERROR(_xlfn.LET(_xlpm.h,'[1]SECOP II'!$A$1:$CQ$1,_xlpm.d,'[1]SECOP II'!$A$2:$CQ$94,_xlpm.r,INDEX(_xlpm.d,0,MATCH("Referencia del Contrato",_xlpm.h,0)),INDEX(_xlpm.d,MATCH("CONTRATO 63 DE 2026",_xlpm.r,0),MATCH("Estado Contrato",_xlpm.h,0))),"")</f>
        <v>En ejecución</v>
      </c>
      <c r="U64" s="10" t="str">
        <f>[1]Contratos!C64</f>
        <v>PJ</v>
      </c>
      <c r="V64" s="10" t="str">
        <f>[1]Contratos!I64</f>
        <v>TECNOLOGÍAS Y SIST. DE INF.</v>
      </c>
      <c r="W64" s="23" t="str">
        <f>[1]Contratos!J64</f>
        <v>EDWIN ALBERTO VARGAS</v>
      </c>
      <c r="X64" s="24" cm="1">
        <f t="array" ref="X64">IFERROR(VLOOKUP(W64,[1]COORD!$A$27:$B$67, 2, FALSE),[1]COORD!$B$27:$B$67)</f>
        <v>7173927</v>
      </c>
      <c r="Y64" s="25" t="s">
        <v>57</v>
      </c>
      <c r="Z64" s="26">
        <v>901081283</v>
      </c>
      <c r="AA64" s="27" cm="1">
        <f t="array" ref="AA64">IF(Y64&lt;&gt;"NIT","N/A",IF(OR(Z64="",Z64="N/A"),"N/A",IF(ISERROR(VALUE(IF(ISNUMBER(FIND("-",TEXT(Z64,"@"))),LEFT(TEXT(Z64,"@"),FIND("-",TEXT(Z64,"@"))-1),TEXT(Z64,"@")))),"N/A",IF(MOD(SUMPRODUCT(VALUE(MID(TEXT(VALUE(IF(ISNUMBER(FIND("-",TEXT(Z64,"@"))),LEFT(TEXT(Z64,"@"),FIND("-",TEXT(Z64,"@"))-1),TEXT(Z64,"@"))),"000000000000000"),{15,14,13,12,11,10,9,8,7,6,5,4,3,2,1},1)),{3,7,13,17,19,23,29,37,41,43,47,53,59,67,71}),11)=0,0,IF(MOD(SUMPRODUCT(VALUE(MID(TEXT(VALUE(IF(ISNUMBER(FIND("-",TEXT(Z64,"@"))),LEFT(TEXT(Z64,"@"),FIND("-",TEXT(Z64,"@"))-1),TEXT(Z64,"@"))),"000000000000000"),{15,14,13,12,11,10,9,8,7,6,5,4,3,2,1},1)),{3,7,13,17,19,23,29,37,41,43,47,53,59,67,71}),11)=1,1,11-MOD(SUMPRODUCT(VALUE(MID(TEXT(VALUE(IF(ISNUMBER(FIND("-",TEXT(Z64,"@"))),LEFT(TEXT(Z64,"@"),FIND("-",TEXT(Z64,"@"))-1),TEXT(Z64,"@"))),"000000000000000"),{15,14,13,12,11,10,9,8,7,6,5,4,3,2,1},1)),{3,7,13,17,19,23,29,37,41,43,47,53,59,67,71}),11))))))</f>
        <v>2</v>
      </c>
      <c r="AB64" s="27">
        <v>81112500</v>
      </c>
      <c r="AC64" s="29" t="str">
        <f>[1]Contratos!Z64</f>
        <v>N/A</v>
      </c>
      <c r="AD64" s="30">
        <f t="shared" si="3"/>
        <v>17</v>
      </c>
      <c r="AE64" s="31" t="s">
        <v>58</v>
      </c>
      <c r="AF64" s="31" t="str" cm="1">
        <f t="array" ref="AF64">IF(AG64="","",IFERROR(_xlfn.LET(_xlpm.x,INDEX([1]RP!$Z$2:$Z$706,MATCH(AG64&amp;"",[1]RP!$A$2:$A$706&amp;"",0)),IF(_xlpm.x="","",_xlpm.x)),""))</f>
        <v>9226</v>
      </c>
      <c r="AG64" s="31" cm="1">
        <f t="array" ref="AG64">IF(A64="","",IFERROR(_xlfn.LET(_xlpm.rp,[1]RP!$A$2:$A$706,_xlpm.dt,IFERROR(DATE(--LEFT([1]RP!$B$2:$B$706,4),--MID([1]RP!$B$2:$B$706,6,2),--MID([1]RP!$B$2:$B$706,9,2)),0),_xlpm.qid,UPPER(SUBSTITUTE(SUBSTITUTE(SUBSTITUTE(SUBSTITUTE([1]RP!$Q$2:$Q$706,".",""),"-","")," ",""),"O","0")),_xlpm.eid,UPPER(SUBSTITUTE(SUBSTITUTE(SUBSTITUTE(SUBSTITUTE(Z64,".",""),"-","")," ",""),"O","0")),_xlpm.qnm,UPPER(SUBSTITUTE(SUBSTITUTE(SUBSTITUTE(SUBSTITUTE(SUBSTITUTE([1]RP!$R$2:$R$706,".",""),"-","")," ",""),"Á","A"),"É","E")),_xlpm.enm,UPPER(SUBSTITUTE(SUBSTITUTE(SUBSTITUTE(SUBSTITUTE(SUBSTITUTE(B64,".",""),"-",""),"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64,"CONTRATO ")," DE")&amp;"/2026",_xlpm.dm,--ISNUMBER(SEARCH(_xlpm.num,_xlpm.sup)),_xlpm.dif,IF(_xlpm.ok,(1-_xlpm.dm)*1000000+IF(AND(ISNUMBER(M64),M64&gt;0),ABS(_xlpm.dt-M64),0),1E+99),_xlpm.md,MIN(_xlpm.dif),INDEX(_xlfn._xlws.FILTER(_xlpm.rp,(_xlpm.ok&gt;0)*(_xlpm.dif=_xlpm.md)),1)),""))</f>
        <v>13126</v>
      </c>
      <c r="AH64" s="32" cm="1">
        <f t="array" ref="AH64">IF(AF64="","",IFERROR(_xlfn.LET(_xlpm.x,INDEX([1]CDP!$B$2:$B$322,MATCH(AF64&amp;"",[1]CDP!$A$2:$A$322&amp;"",0)),IF(ISNUMBER(_xlpm.x),_xlpm.x,DATE(--LEFT(_xlpm.x,4),--MID(_xlpm.x,6,2),--MID(_xlpm.x,9,2)))),""))</f>
        <v>46073</v>
      </c>
    </row>
    <row r="65" spans="1:34" ht="61.5" customHeight="1" x14ac:dyDescent="0.35">
      <c r="A65" s="1" t="str">
        <f>[1]Contratos!A65</f>
        <v>CONTRATO 64 DE 2026</v>
      </c>
      <c r="B65" s="10" t="str">
        <f>[1]Contratos!B65</f>
        <v>FTL COMUNICACIONES (Mass Medios)</v>
      </c>
      <c r="C65" s="10" t="str">
        <f>[1]Contratos!E65</f>
        <v>Mínima cuantía</v>
      </c>
      <c r="D65" s="10" t="s">
        <v>119</v>
      </c>
      <c r="E65" s="11" t="str">
        <f>[1]Contratos!F65</f>
        <v xml:space="preserve">Prestar el servicio de monitoreo de noticias en medios de comunicación y redes sociales para la Comisión de Regulación de Comunicaciones, </v>
      </c>
      <c r="F65" s="12">
        <v>30094000</v>
      </c>
      <c r="G65" s="13">
        <f>[1]Contratos!G65</f>
        <v>23684570</v>
      </c>
      <c r="H65" s="14" t="str">
        <f>IFERROR(VLOOKUP(A65, [1]Otrosí!A:F, 6, FALSE), "0")</f>
        <v>0</v>
      </c>
      <c r="I65" s="13">
        <f t="shared" si="0"/>
        <v>23684570</v>
      </c>
      <c r="J65" s="15">
        <f>IFERROR(_xlfn.LET(_xlpm.x,_xlfn.LET(_xlpm.n,--_xlfn.TEXTBEFORE(_xlfn.TEXTAFTER(A65,"CONTRATO ")," DE"),_xlpm.c,"CONTRATO "&amp;TEXT(_xlpm.n,"00")&amp;" DE 2026",_xlpm.h,'[1]SECOP II'!$A$1:$CQ$1,_xlpm.d,'[1]SECOP II'!$A$2:$CQ$94,_xlpm.r,INDEX(_xlpm.d,0,MATCH("Referencia del Contrato",_xlpm.h,0)),INDEX(_xlpm.d,MATCH(_xlpm.c,_xlpm.r,0),MATCH("Valor Pagado",_xlpm.h,0))),_xlfn.NUMBERVALUE(SUBSTITUTE(_xlpm.x,"$",""),".",",")),"")</f>
        <v>13579153.470000001</v>
      </c>
      <c r="K65" s="16">
        <f t="shared" si="1"/>
        <v>10105416.529999999</v>
      </c>
      <c r="L65" s="17">
        <f t="shared" si="2"/>
        <v>0.573333333474072</v>
      </c>
      <c r="M65" s="18">
        <f>[1]Contratos!O65</f>
        <v>46087</v>
      </c>
      <c r="N65" s="18">
        <f>[1]Contratos!P65</f>
        <v>46090</v>
      </c>
      <c r="O65" s="18">
        <f>[1]Contratos!Q65</f>
        <v>46387</v>
      </c>
      <c r="P65" s="18" t="str">
        <f>IFERROR(VLOOKUP(A65, [1]Otrosí!A:L, 7, FALSE), "N/A")</f>
        <v>N/A</v>
      </c>
      <c r="Q65" s="19" t="str">
        <f>IFERROR(_xlfn.LET(_xlpm.h,'[1]SECOP II'!$A$1:$CQ$1,_xlpm.d,'[1]SECOP II'!$A$2:$CQ$94,_xlpm.r,INDEX(_xlpm.d,0,MATCH("Referencia del Contrato",_xlpm.h,0)),INDEX(_xlpm.d,MATCH("CONTRATO 64 DE 2026",_xlpm.r,0),MATCH("Tipo de Contrato",_xlpm.h,0))),"")</f>
        <v>Prestación de servicios</v>
      </c>
      <c r="R65" s="20" t="str">
        <f>IFERROR(_xlfn.LET(_xlpm.n,--_xlfn.TEXTBEFORE(_xlfn.TEXTAFTER(A65,"CONTRATO ")," DE"),_xlpm.c,"CONTRATO "&amp;TEXT(_xlpm.n,"00")&amp;" DE 2026",_xlpm.h,'[1]SECOP II'!$A$1:$CQ$1,_xlpm.d,'[1]SECOP II'!$A$2:$CQ$94,_xlpm.r,INDEX(_xlpm.d,0,MATCH("Referencia del Contrato",_xlpm.h,0)),INDEX(_xlpm.d,MATCH(_xlpm.c,_xlpm.r,0),MATCH("Destino Gasto",_xlpm.h,0))),"")</f>
        <v>Funcionamiento</v>
      </c>
      <c r="S65" s="34" t="str">
        <f>IFERROR(_xlfn.LET(_xlpm.n,--_xlfn.TEXTBEFORE(_xlfn.TEXTAFTER(A65,"CONTRATO ")," DE"),_xlpm.c,"CONTRATO "&amp;TEXT(_xlpm.n,"00")&amp;" DE 2026",_xlpm.h,'[1]SECOP II'!$A$1:$CQ$1,_xlpm.d,'[1]SECOP II'!$A$2:$CQ$94,_xlpm.r,INDEX(_xlpm.d,0,MATCH("Referencia del Contrato",_xlpm.h,0)),INDEX(_xlpm.d,MATCH(_xlpm.c,_xlpm.r,0),MATCH("URLProceso",_xlpm.h,0))),"")</f>
        <v>https://community.secop.gov.co/Public/Tendering/OpportunityDetail/Index?noticeUID=CO1.NTC.10021556&amp;isFromPublicArea=True&amp;isModal=true&amp;asPopupView=true</v>
      </c>
      <c r="T65" s="22" t="str">
        <f>IFERROR(_xlfn.LET(_xlpm.h,'[1]SECOP II'!$A$1:$CQ$1,_xlpm.d,'[1]SECOP II'!$A$2:$CQ$94,_xlpm.r,INDEX(_xlpm.d,0,MATCH("Referencia del Contrato",_xlpm.h,0)),INDEX(_xlpm.d,MATCH("CONTRATO 64 DE 2026",_xlpm.r,0),MATCH("Estado Contrato",_xlpm.h,0))),"")</f>
        <v>En ejecución</v>
      </c>
      <c r="U65" s="10" t="str">
        <f>[1]Contratos!C65</f>
        <v>PJ</v>
      </c>
      <c r="V65" s="10" t="str">
        <f>[1]Contratos!I65</f>
        <v>RELACIONES CON GRUPOS DE VALOR</v>
      </c>
      <c r="W65" s="23" t="str">
        <f>[1]Contratos!J65</f>
        <v>ROCIO QUINCHE</v>
      </c>
      <c r="X65" s="24" cm="1">
        <f t="array" ref="X65">IFERROR(VLOOKUP(W65,[1]COORD!$A$27:$B$67, 2, FALSE),[1]COORD!$B$27:$B$67)</f>
        <v>1032417388</v>
      </c>
      <c r="Y65" s="25" t="s">
        <v>57</v>
      </c>
      <c r="Z65" s="26">
        <v>830065445</v>
      </c>
      <c r="AA65" s="27" cm="1">
        <f t="array" ref="AA65">IF(Y65&lt;&gt;"NIT","N/A",IF(OR(Z65="",Z65="N/A"),"N/A",IF(ISERROR(VALUE(IF(ISNUMBER(FIND("-",TEXT(Z65,"@"))),LEFT(TEXT(Z65,"@"),FIND("-",TEXT(Z65,"@"))-1),TEXT(Z65,"@")))),"N/A",IF(MOD(SUMPRODUCT(VALUE(MID(TEXT(VALUE(IF(ISNUMBER(FIND("-",TEXT(Z65,"@"))),LEFT(TEXT(Z65,"@"),FIND("-",TEXT(Z65,"@"))-1),TEXT(Z65,"@"))),"000000000000000"),{15,14,13,12,11,10,9,8,7,6,5,4,3,2,1},1)),{3,7,13,17,19,23,29,37,41,43,47,53,59,67,71}),11)=0,0,IF(MOD(SUMPRODUCT(VALUE(MID(TEXT(VALUE(IF(ISNUMBER(FIND("-",TEXT(Z65,"@"))),LEFT(TEXT(Z65,"@"),FIND("-",TEXT(Z65,"@"))-1),TEXT(Z65,"@"))),"000000000000000"),{15,14,13,12,11,10,9,8,7,6,5,4,3,2,1},1)),{3,7,13,17,19,23,29,37,41,43,47,53,59,67,71}),11)=1,1,11-MOD(SUMPRODUCT(VALUE(MID(TEXT(VALUE(IF(ISNUMBER(FIND("-",TEXT(Z65,"@"))),LEFT(TEXT(Z65,"@"),FIND("-",TEXT(Z65,"@"))-1),TEXT(Z65,"@"))),"000000000000000"),{15,14,13,12,11,10,9,8,7,6,5,4,3,2,1},1)),{3,7,13,17,19,23,29,37,41,43,47,53,59,67,71}),11))))))</f>
        <v>4</v>
      </c>
      <c r="AB65" s="27">
        <v>83121703</v>
      </c>
      <c r="AC65" s="29" t="str">
        <f>[1]Contratos!Z65</f>
        <v>N/A</v>
      </c>
      <c r="AD65" s="30">
        <f t="shared" si="3"/>
        <v>300</v>
      </c>
      <c r="AE65" s="31" t="s">
        <v>46</v>
      </c>
      <c r="AF65" s="31" t="str" cm="1">
        <f t="array" ref="AF65">IF(AG65="","",IFERROR(_xlfn.LET(_xlpm.x,INDEX([1]RP!$Z$2:$Z$706,MATCH(AG65&amp;"",[1]RP!$A$2:$A$706&amp;"",0)),IF(_xlpm.x="","",_xlpm.x)),""))</f>
        <v>8726</v>
      </c>
      <c r="AG65" s="31" cm="1">
        <f t="array" ref="AG65">IF(A65="","",IFERROR(_xlfn.LET(_xlpm.rp,[1]RP!$A$2:$A$706,_xlpm.dt,IFERROR(DATE(--LEFT([1]RP!$B$2:$B$706,4),--MID([1]RP!$B$2:$B$706,6,2),--MID([1]RP!$B$2:$B$706,9,2)),0),_xlpm.qid,UPPER(SUBSTITUTE(SUBSTITUTE(SUBSTITUTE(SUBSTITUTE([1]RP!$Q$2:$Q$706,".",""),"-","")," ",""),"O","0")),_xlpm.eid,UPPER(SUBSTITUTE(SUBSTITUTE(SUBSTITUTE(SUBSTITUTE(Z65,".",""),"-","")," ",""),"O","0")),_xlpm.qnm,UPPER(SUBSTITUTE(SUBSTITUTE(SUBSTITUTE(SUBSTITUTE(SUBSTITUTE([1]RP!$R$2:$R$706,".",""),"-","")," ",""),"Á","A"),"É","E")),_xlpm.enm,UPPER(SUBSTITUTE(SUBSTITUTE(SUBSTITUTE(SUBSTITUTE(SUBSTITUTE(B65,".",""),"-",""),"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65,"CONTRATO ")," DE")&amp;"/2026",_xlpm.dm,--ISNUMBER(SEARCH(_xlpm.num,_xlpm.sup)),_xlpm.dif,IF(_xlpm.ok,(1-_xlpm.dm)*1000000+IF(AND(ISNUMBER(M65),M65&gt;0),ABS(_xlpm.dt-M65),0),1E+99),_xlpm.md,MIN(_xlpm.dif),INDEX(_xlfn._xlws.FILTER(_xlpm.rp,(_xlpm.ok&gt;0)*(_xlpm.dif=_xlpm.md)),1)),""))</f>
        <v>13026</v>
      </c>
      <c r="AH65" s="32" cm="1">
        <f t="array" ref="AH65">IF(AF65="","",IFERROR(_xlfn.LET(_xlpm.x,INDEX([1]CDP!$B$2:$B$322,MATCH(AF65&amp;"",[1]CDP!$A$2:$A$322&amp;"",0)),IF(ISNUMBER(_xlpm.x),_xlpm.x,DATE(--LEFT(_xlpm.x,4),--MID(_xlpm.x,6,2),--MID(_xlpm.x,9,2)))),""))</f>
        <v>46065</v>
      </c>
    </row>
    <row r="66" spans="1:34" ht="61.5" customHeight="1" x14ac:dyDescent="0.35">
      <c r="A66" s="1" t="str">
        <f>[1]Contratos!A66</f>
        <v>CONTRATO 65 DE 2026</v>
      </c>
      <c r="B66" s="10" t="str">
        <f>[1]Contratos!B66</f>
        <v>PANTOGLOT LTDA</v>
      </c>
      <c r="C66" s="10" t="str">
        <f>[1]Contratos!E66</f>
        <v>Mínima cuantía</v>
      </c>
      <c r="D66" s="10" t="s">
        <v>120</v>
      </c>
      <c r="E66" s="11" t="str">
        <f>[1]Contratos!F66</f>
        <v>Contratación de los servicios de traducción oficial escrita del idioma inglés al español del informe “Conectividad en un entorno digital en evolución: Revisión de Colombia” y de sus componentes asociados (incluidos anexos, cuadros, figuras y demás contenidos que integren el documento), elaborado por la Organización para la Cooperación y el Desarrollo Económicos (OCDE) a solicitud de la Comisión de Regulación de Comunicaciones (CRC), garantizando fidelidad terminológica, coherencia y consistencia técnica en el texto final.</v>
      </c>
      <c r="F66" s="12">
        <v>20496000</v>
      </c>
      <c r="G66" s="13">
        <f>[1]Contratos!G66</f>
        <v>20496000</v>
      </c>
      <c r="H66" s="14" t="str">
        <f>IFERROR(VLOOKUP(A66, [1]Otrosí!A:F, 6, FALSE), "0")</f>
        <v>0</v>
      </c>
      <c r="I66" s="13">
        <f t="shared" si="0"/>
        <v>20496000</v>
      </c>
      <c r="J66" s="15">
        <f>IFERROR(_xlfn.LET(_xlpm.x,_xlfn.LET(_xlpm.n,--_xlfn.TEXTBEFORE(_xlfn.TEXTAFTER(A66,"CONTRATO ")," DE"),_xlpm.c,"CONTRATO "&amp;TEXT(_xlpm.n,"00")&amp;" DE 2026",_xlpm.h,'[1]SECOP II'!$A$1:$CQ$1,_xlpm.d,'[1]SECOP II'!$A$2:$CQ$94,_xlpm.r,INDEX(_xlpm.d,0,MATCH("Referencia del Contrato",_xlpm.h,0)),INDEX(_xlpm.d,MATCH(_xlpm.c,_xlpm.r,0),MATCH("Valor Pagado",_xlpm.h,0))),_xlfn.NUMBERVALUE(SUBSTITUTE(_xlpm.x,"$",""),".",",")),"")</f>
        <v>11312256</v>
      </c>
      <c r="K66" s="16">
        <f t="shared" si="1"/>
        <v>9183744</v>
      </c>
      <c r="L66" s="17">
        <f t="shared" si="2"/>
        <v>0.55192505854800933</v>
      </c>
      <c r="M66" s="18">
        <f>[1]Contratos!O66</f>
        <v>46097</v>
      </c>
      <c r="N66" s="18">
        <f>[1]Contratos!P66</f>
        <v>46098</v>
      </c>
      <c r="O66" s="18">
        <f>[1]Contratos!Q66</f>
        <v>46128</v>
      </c>
      <c r="P66" s="18" t="str">
        <f>IFERROR(VLOOKUP(A66, [1]Otrosí!A:L, 7, FALSE), "N/A")</f>
        <v>N/A</v>
      </c>
      <c r="Q66" s="19" t="str">
        <f>IFERROR(_xlfn.LET(_xlpm.h,'[1]SECOP II'!$A$1:$CQ$1,_xlpm.d,'[1]SECOP II'!$A$2:$CQ$94,_xlpm.r,INDEX(_xlpm.d,0,MATCH("Referencia del Contrato",_xlpm.h,0)),INDEX(_xlpm.d,MATCH("CONTRATO 65 DE 2026",_xlpm.r,0),MATCH("Tipo de Contrato",_xlpm.h,0))),"")</f>
        <v>Prestación de servicios</v>
      </c>
      <c r="R66" s="20" t="str">
        <f>IFERROR(_xlfn.LET(_xlpm.n,--_xlfn.TEXTBEFORE(_xlfn.TEXTAFTER(A66,"CONTRATO ")," DE"),_xlpm.c,"CONTRATO "&amp;TEXT(_xlpm.n,"00")&amp;" DE 2026",_xlpm.h,'[1]SECOP II'!$A$1:$CQ$1,_xlpm.d,'[1]SECOP II'!$A$2:$CQ$94,_xlpm.r,INDEX(_xlpm.d,0,MATCH("Referencia del Contrato",_xlpm.h,0)),INDEX(_xlpm.d,MATCH(_xlpm.c,_xlpm.r,0),MATCH("Destino Gasto",_xlpm.h,0))),"")</f>
        <v>Inversión</v>
      </c>
      <c r="S66" s="34" t="str">
        <f>IFERROR(_xlfn.LET(_xlpm.n,--_xlfn.TEXTBEFORE(_xlfn.TEXTAFTER(A66,"CONTRATO ")," DE"),_xlpm.c,"CONTRATO "&amp;TEXT(_xlpm.n,"00")&amp;" DE 2026",_xlpm.h,'[1]SECOP II'!$A$1:$CQ$1,_xlpm.d,'[1]SECOP II'!$A$2:$CQ$94,_xlpm.r,INDEX(_xlpm.d,0,MATCH("Referencia del Contrato",_xlpm.h,0)),INDEX(_xlpm.d,MATCH(_xlpm.c,_xlpm.r,0),MATCH("URLProceso",_xlpm.h,0))),"")</f>
        <v>https://community.secop.gov.co/Public/Tendering/OpportunityDetail/Index?noticeUID=CO1.NTC.10077458&amp;isFromPublicArea=True&amp;isModal=true&amp;asPopupView=true</v>
      </c>
      <c r="T66" s="22" t="str">
        <f>IFERROR(_xlfn.LET(_xlpm.h,'[1]SECOP II'!$A$1:$CQ$1,_xlpm.d,'[1]SECOP II'!$A$2:$CQ$94,_xlpm.r,INDEX(_xlpm.d,0,MATCH("Referencia del Contrato",_xlpm.h,0)),INDEX(_xlpm.d,MATCH("CONTRATO 65 DE 2026",_xlpm.r,0),MATCH("Estado Contrato",_xlpm.h,0))),"")</f>
        <v>terminado</v>
      </c>
      <c r="U66" s="10" t="str">
        <f>[1]Contratos!C66</f>
        <v>PJ</v>
      </c>
      <c r="V66" s="10" t="str">
        <f>[1]Contratos!I66</f>
        <v>PROSPECTIVA ESTRATÉGICA</v>
      </c>
      <c r="W66" s="23" t="str">
        <f>[1]Contratos!J66</f>
        <v>VICTOR BALDRICH</v>
      </c>
      <c r="X66" s="24" cm="1">
        <f t="array" ref="X66">IFERROR(VLOOKUP(W66,[1]COORD!$A$27:$B$67, 2, FALSE),[1]COORD!$B$27:$B$67)</f>
        <v>1019105701</v>
      </c>
      <c r="Y66" s="25" t="s">
        <v>57</v>
      </c>
      <c r="Z66" s="26">
        <v>900192835</v>
      </c>
      <c r="AA66" s="27" cm="1">
        <f t="array" ref="AA66">IF(Y66&lt;&gt;"NIT","N/A",IF(OR(Z66="",Z66="N/A"),"N/A",IF(ISERROR(VALUE(IF(ISNUMBER(FIND("-",TEXT(Z66,"@"))),LEFT(TEXT(Z66,"@"),FIND("-",TEXT(Z66,"@"))-1),TEXT(Z66,"@")))),"N/A",IF(MOD(SUMPRODUCT(VALUE(MID(TEXT(VALUE(IF(ISNUMBER(FIND("-",TEXT(Z66,"@"))),LEFT(TEXT(Z66,"@"),FIND("-",TEXT(Z66,"@"))-1),TEXT(Z66,"@"))),"000000000000000"),{15,14,13,12,11,10,9,8,7,6,5,4,3,2,1},1)),{3,7,13,17,19,23,29,37,41,43,47,53,59,67,71}),11)=0,0,IF(MOD(SUMPRODUCT(VALUE(MID(TEXT(VALUE(IF(ISNUMBER(FIND("-",TEXT(Z66,"@"))),LEFT(TEXT(Z66,"@"),FIND("-",TEXT(Z66,"@"))-1),TEXT(Z66,"@"))),"000000000000000"),{15,14,13,12,11,10,9,8,7,6,5,4,3,2,1},1)),{3,7,13,17,19,23,29,37,41,43,47,53,59,67,71}),11)=1,1,11-MOD(SUMPRODUCT(VALUE(MID(TEXT(VALUE(IF(ISNUMBER(FIND("-",TEXT(Z66,"@"))),LEFT(TEXT(Z66,"@"),FIND("-",TEXT(Z66,"@"))-1),TEXT(Z66,"@"))),"000000000000000"),{15,14,13,12,11,10,9,8,7,6,5,4,3,2,1},1)),{3,7,13,17,19,23,29,37,41,43,47,53,59,67,71}),11))))))</f>
        <v>0</v>
      </c>
      <c r="AB66" s="27">
        <v>82111804</v>
      </c>
      <c r="AC66" s="29" t="str">
        <f>[1]Contratos!Z66</f>
        <v>N/A</v>
      </c>
      <c r="AD66" s="30">
        <f t="shared" si="3"/>
        <v>31</v>
      </c>
      <c r="AE66" s="31" t="s">
        <v>37</v>
      </c>
      <c r="AF66" s="31" t="str" cm="1">
        <f t="array" ref="AF66">IF(AG66="","",IFERROR(_xlfn.LET(_xlpm.x,INDEX([1]RP!$Z$2:$Z$706,MATCH(AG66&amp;"",[1]RP!$A$2:$A$706&amp;"",0)),IF(_xlpm.x="","",_xlpm.x)),""))</f>
        <v>10126</v>
      </c>
      <c r="AG66" s="31" cm="1">
        <f t="array" ref="AG66">IF(A66="","",IFERROR(_xlfn.LET(_xlpm.rp,[1]RP!$A$2:$A$706,_xlpm.dt,IFERROR(DATE(--LEFT([1]RP!$B$2:$B$706,4),--MID([1]RP!$B$2:$B$706,6,2),--MID([1]RP!$B$2:$B$706,9,2)),0),_xlpm.qid,UPPER(SUBSTITUTE(SUBSTITUTE(SUBSTITUTE(SUBSTITUTE([1]RP!$Q$2:$Q$706,".",""),"-","")," ",""),"O","0")),_xlpm.eid,UPPER(SUBSTITUTE(SUBSTITUTE(SUBSTITUTE(SUBSTITUTE(Z66,".",""),"-","")," ",""),"O","0")),_xlpm.qnm,UPPER(SUBSTITUTE(SUBSTITUTE(SUBSTITUTE(SUBSTITUTE(SUBSTITUTE([1]RP!$R$2:$R$706,".",""),"-","")," ",""),"Á","A"),"É","E")),_xlpm.enm,UPPER(SUBSTITUTE(SUBSTITUTE(SUBSTITUTE(SUBSTITUTE(SUBSTITUTE(B66,".",""),"-",""),"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66,"CONTRATO ")," DE")&amp;"/2026",_xlpm.dm,--ISNUMBER(SEARCH(_xlpm.num,_xlpm.sup)),_xlpm.dif,IF(_xlpm.ok,(1-_xlpm.dm)*1000000+IF(AND(ISNUMBER(M66),M66&gt;0),ABS(_xlpm.dt-M66),0),1E+99),_xlpm.md,MIN(_xlpm.dif),INDEX(_xlfn._xlws.FILTER(_xlpm.rp,(_xlpm.ok&gt;0)*(_xlpm.dif=_xlpm.md)),1)),""))</f>
        <v>13626</v>
      </c>
      <c r="AH66" s="32" cm="1">
        <f t="array" ref="AH66">IF(AF66="","",IFERROR(_xlfn.LET(_xlpm.x,INDEX([1]CDP!$B$2:$B$322,MATCH(AF66&amp;"",[1]CDP!$A$2:$A$322&amp;"",0)),IF(ISNUMBER(_xlpm.x),_xlpm.x,DATE(--LEFT(_xlpm.x,4),--MID(_xlpm.x,6,2),--MID(_xlpm.x,9,2)))),""))</f>
        <v>46080</v>
      </c>
    </row>
    <row r="67" spans="1:34" ht="61.5" customHeight="1" x14ac:dyDescent="0.35">
      <c r="A67" s="1" t="str">
        <f>[1]Contratos!A67</f>
        <v>CONTRATO 66 DE 2026</v>
      </c>
      <c r="B67" s="10" t="str">
        <f>[1]Contratos!B67</f>
        <v>JVALE INGENIERIA S.A.S</v>
      </c>
      <c r="C67" s="10" t="str">
        <f>[1]Contratos!E67</f>
        <v>Mínima cuantía</v>
      </c>
      <c r="D67" s="10" t="s">
        <v>121</v>
      </c>
      <c r="E67" s="11" t="str">
        <f>[1]Contratos!F67</f>
        <v>la prestación del servicio de mantenimiento preventivo y correctivo, incluido mano de obra calificada y suministro de repuestos a todo costo originales nuevos, para la transferencia eléctrica automática de propiedad de la Comisión de Regulación de Comunicaciones., de conformidad con la Invitación Pública No. 68 de 2026 y la oferta presentada por el contratista</v>
      </c>
      <c r="F67" s="12">
        <v>1590241</v>
      </c>
      <c r="G67" s="13">
        <f>[1]Contratos!G67</f>
        <v>1240000</v>
      </c>
      <c r="H67" s="14" t="str">
        <f>IFERROR(VLOOKUP(A67, [1]Otrosí!A:F, 6, FALSE), "0")</f>
        <v>0</v>
      </c>
      <c r="I67" s="13">
        <f t="shared" ref="I67:I95" si="4">SUM(G67:H67)</f>
        <v>1240000</v>
      </c>
      <c r="J67" s="15">
        <f>IFERROR(_xlfn.LET(_xlpm.x,_xlfn.LET(_xlpm.n,--_xlfn.TEXTBEFORE(_xlfn.TEXTAFTER(A67,"CONTRATO ")," DE"),_xlpm.c,"CONTRATO "&amp;TEXT(_xlpm.n,"00")&amp;" DE 2026",_xlpm.h,'[1]SECOP II'!$A$1:$CQ$1,_xlpm.d,'[1]SECOP II'!$A$2:$CQ$94,_xlpm.r,INDEX(_xlpm.d,0,MATCH("Referencia del Contrato",_xlpm.h,0)),INDEX(_xlpm.d,MATCH(_xlpm.c,_xlpm.r,0),MATCH("Valor Pagado",_xlpm.h,0))),_xlfn.NUMBERVALUE(SUBSTITUTE(_xlpm.x,"$",""),".",",")),"")</f>
        <v>1240000</v>
      </c>
      <c r="K67" s="16">
        <f t="shared" ref="K67:K95" si="5">I67-J67</f>
        <v>0</v>
      </c>
      <c r="L67" s="17">
        <f t="shared" ref="L67:L96" si="6">IF(OR(A67="",I67=0),"",J67/I67)</f>
        <v>1</v>
      </c>
      <c r="M67" s="18">
        <f>[1]Contratos!O67</f>
        <v>46105</v>
      </c>
      <c r="N67" s="18">
        <f>[1]Contratos!P67</f>
        <v>46118</v>
      </c>
      <c r="O67" s="18">
        <f>[1]Contratos!Q67</f>
        <v>46147</v>
      </c>
      <c r="P67" s="18" t="str">
        <f>IFERROR(VLOOKUP(A67, [1]Otrosí!A:L, 7, FALSE), "N/A")</f>
        <v>N/A</v>
      </c>
      <c r="Q67" s="19" t="str">
        <f>IFERROR(_xlfn.LET(_xlpm.h,'[1]SECOP II'!$A$1:$CQ$1,_xlpm.d,'[1]SECOP II'!$A$2:$CQ$94,_xlpm.r,INDEX(_xlpm.d,0,MATCH("Referencia del Contrato",_xlpm.h,0)),INDEX(_xlpm.d,MATCH("CONTRATO 66 DE 2026",_xlpm.r,0),MATCH("Tipo de Contrato",_xlpm.h,0))),"")</f>
        <v>Prestación de servicios</v>
      </c>
      <c r="R67" s="20" t="str">
        <f>IFERROR(_xlfn.LET(_xlpm.n,--_xlfn.TEXTBEFORE(_xlfn.TEXTAFTER(A67,"CONTRATO ")," DE"),_xlpm.c,"CONTRATO "&amp;TEXT(_xlpm.n,"00")&amp;" DE 2026",_xlpm.h,'[1]SECOP II'!$A$1:$CQ$1,_xlpm.d,'[1]SECOP II'!$A$2:$CQ$94,_xlpm.r,INDEX(_xlpm.d,0,MATCH("Referencia del Contrato",_xlpm.h,0)),INDEX(_xlpm.d,MATCH(_xlpm.c,_xlpm.r,0),MATCH("Destino Gasto",_xlpm.h,0))),"")</f>
        <v>Funcionamiento</v>
      </c>
      <c r="S67" s="34" t="str">
        <f>IFERROR(_xlfn.LET(_xlpm.n,--_xlfn.TEXTBEFORE(_xlfn.TEXTAFTER(A67,"CONTRATO ")," DE"),_xlpm.c,"CONTRATO "&amp;TEXT(_xlpm.n,"00")&amp;" DE 2026",_xlpm.h,'[1]SECOP II'!$A$1:$CQ$1,_xlpm.d,'[1]SECOP II'!$A$2:$CQ$94,_xlpm.r,INDEX(_xlpm.d,0,MATCH("Referencia del Contrato",_xlpm.h,0)),INDEX(_xlpm.d,MATCH(_xlpm.c,_xlpm.r,0),MATCH("URLProceso",_xlpm.h,0))),"")</f>
        <v>https://community.secop.gov.co/Public/Tendering/OpportunityDetail/Index?noticeUID=CO1.NTC.10099755&amp;isFromPublicArea=True&amp;isModal=true&amp;asPopupView=true</v>
      </c>
      <c r="T67" s="22" t="str">
        <f>IFERROR(_xlfn.LET(_xlpm.h,'[1]SECOP II'!$A$1:$CQ$1,_xlpm.d,'[1]SECOP II'!$A$2:$CQ$94,_xlpm.r,INDEX(_xlpm.d,0,MATCH("Referencia del Contrato",_xlpm.h,0)),INDEX(_xlpm.d,MATCH("CONTRATO 66 DE 2026",_xlpm.r,0),MATCH("Estado Contrato",_xlpm.h,0))),"")</f>
        <v>En ejecución</v>
      </c>
      <c r="U67" s="10" t="str">
        <f>[1]Contratos!C67</f>
        <v>PJ</v>
      </c>
      <c r="V67" s="10" t="str">
        <f>[1]Contratos!I67</f>
        <v>GESTIÓN ADM. Y FIN</v>
      </c>
      <c r="W67" s="23" t="str">
        <f>[1]Contratos!J67</f>
        <v>LUIS JORGE GUEVARA</v>
      </c>
      <c r="X67" s="24" cm="1">
        <f t="array" ref="X67">IFERROR(VLOOKUP(W67,[1]COORD!$A$27:$B$67, 2, FALSE),[1]COORD!$B$27:$B$67)</f>
        <v>80811747</v>
      </c>
      <c r="Y67" s="25" t="s">
        <v>57</v>
      </c>
      <c r="Z67" s="26">
        <v>900810365</v>
      </c>
      <c r="AA67" s="27" cm="1">
        <f t="array" ref="AA67">IF(Y67&lt;&gt;"NIT","N/A",IF(OR(Z67="",Z67="N/A"),"N/A",IF(ISERROR(VALUE(IF(ISNUMBER(FIND("-",TEXT(Z67,"@"))),LEFT(TEXT(Z67,"@"),FIND("-",TEXT(Z67,"@"))-1),TEXT(Z67,"@")))),"N/A",IF(MOD(SUMPRODUCT(VALUE(MID(TEXT(VALUE(IF(ISNUMBER(FIND("-",TEXT(Z67,"@"))),LEFT(TEXT(Z67,"@"),FIND("-",TEXT(Z67,"@"))-1),TEXT(Z67,"@"))),"000000000000000"),{15,14,13,12,11,10,9,8,7,6,5,4,3,2,1},1)),{3,7,13,17,19,23,29,37,41,43,47,53,59,67,71}),11)=0,0,IF(MOD(SUMPRODUCT(VALUE(MID(TEXT(VALUE(IF(ISNUMBER(FIND("-",TEXT(Z67,"@"))),LEFT(TEXT(Z67,"@"),FIND("-",TEXT(Z67,"@"))-1),TEXT(Z67,"@"))),"000000000000000"),{15,14,13,12,11,10,9,8,7,6,5,4,3,2,1},1)),{3,7,13,17,19,23,29,37,41,43,47,53,59,67,71}),11)=1,1,11-MOD(SUMPRODUCT(VALUE(MID(TEXT(VALUE(IF(ISNUMBER(FIND("-",TEXT(Z67,"@"))),LEFT(TEXT(Z67,"@"),FIND("-",TEXT(Z67,"@"))-1),TEXT(Z67,"@"))),"000000000000000"),{15,14,13,12,11,10,9,8,7,6,5,4,3,2,1},1)),{3,7,13,17,19,23,29,37,41,43,47,53,59,67,71}),11))))))</f>
        <v>3</v>
      </c>
      <c r="AB67" s="27">
        <v>72154300</v>
      </c>
      <c r="AC67" s="29" t="str">
        <f>[1]Contratos!Z67</f>
        <v>N/A</v>
      </c>
      <c r="AD67" s="30">
        <f t="shared" ref="AD67:AD95" si="7">O67-M67</f>
        <v>42</v>
      </c>
      <c r="AE67" s="31" t="s">
        <v>46</v>
      </c>
      <c r="AF67" s="31" t="str" cm="1">
        <f t="array" ref="AF67">IF(AG67="","",IFERROR(_xlfn.LET(_xlpm.x,INDEX([1]RP!$Z$2:$Z$706,MATCH(AG67&amp;"",[1]RP!$A$2:$A$706&amp;"",0)),IF(_xlpm.x="","",_xlpm.x)),""))</f>
        <v>10426</v>
      </c>
      <c r="AG67" s="31" cm="1">
        <f t="array" ref="AG67">IF(A67="","",IFERROR(_xlfn.LET(_xlpm.rp,[1]RP!$A$2:$A$706,_xlpm.dt,IFERROR(DATE(--LEFT([1]RP!$B$2:$B$706,4),--MID([1]RP!$B$2:$B$706,6,2),--MID([1]RP!$B$2:$B$706,9,2)),0),_xlpm.qid,UPPER(SUBSTITUTE(SUBSTITUTE(SUBSTITUTE(SUBSTITUTE([1]RP!$Q$2:$Q$706,".",""),"-","")," ",""),"O","0")),_xlpm.eid,UPPER(SUBSTITUTE(SUBSTITUTE(SUBSTITUTE(SUBSTITUTE(Z67,".",""),"-","")," ",""),"O","0")),_xlpm.qnm,UPPER(SUBSTITUTE(SUBSTITUTE(SUBSTITUTE(SUBSTITUTE(SUBSTITUTE([1]RP!$R$2:$R$706,".",""),"-","")," ",""),"Á","A"),"É","E")),_xlpm.enm,UPPER(SUBSTITUTE(SUBSTITUTE(SUBSTITUTE(SUBSTITUTE(SUBSTITUTE(B67,".",""),"-",""),"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67,"CONTRATO ")," DE")&amp;"/2026",_xlpm.dm,--ISNUMBER(SEARCH(_xlpm.num,_xlpm.sup)),_xlpm.dif,IF(_xlpm.ok,(1-_xlpm.dm)*1000000+IF(AND(ISNUMBER(M67),M67&gt;0),ABS(_xlpm.dt-M67),0),1E+99),_xlpm.md,MIN(_xlpm.dif),INDEX(_xlfn._xlws.FILTER(_xlpm.rp,(_xlpm.ok&gt;0)*(_xlpm.dif=_xlpm.md)),1)),""))</f>
        <v>15626</v>
      </c>
      <c r="AH67" s="32" cm="1">
        <f t="array" ref="AH67">IF(AF67="","",IFERROR(_xlfn.LET(_xlpm.x,INDEX([1]CDP!$B$2:$B$322,MATCH(AF67&amp;"",[1]CDP!$A$2:$A$322&amp;"",0)),IF(ISNUMBER(_xlpm.x),_xlpm.x,DATE(--LEFT(_xlpm.x,4),--MID(_xlpm.x,6,2),--MID(_xlpm.x,9,2)))),""))</f>
        <v>46086</v>
      </c>
    </row>
    <row r="68" spans="1:34" ht="61.5" customHeight="1" x14ac:dyDescent="0.35">
      <c r="A68" s="1" t="str">
        <f>[1]Contratos!A68</f>
        <v>CONTRATO 67 DE 2026 - OC 162532</v>
      </c>
      <c r="B68" s="10" t="str">
        <f>[1]Contratos!B68</f>
        <v xml:space="preserve">COMCEL S.A </v>
      </c>
      <c r="C68" s="10" t="str">
        <f>[1]Contratos!E68</f>
        <v>AMP/IAD/CGS</v>
      </c>
      <c r="D68" s="10" t="s">
        <v>122</v>
      </c>
      <c r="E68" s="11" t="str">
        <f>[1]Contratos!F68</f>
        <v>Renovar los servicios de Microsoft Azure Suscripción CSP de la Comisión de Regulación de Comunicaciones, con el fin de garantizar recursos tecnológicos que permitan asegurar la disponibilidad y operación de la infraestructura actual; así como el aprovisionamiento de nuevos servicios de computación en la nube que demande el ejercicio misional e institucional de la Entidad.</v>
      </c>
      <c r="F68" s="12">
        <v>1585036496</v>
      </c>
      <c r="G68" s="13">
        <f>[1]Contratos!G68</f>
        <v>1458418665.6900001</v>
      </c>
      <c r="H68" s="14" t="str">
        <f>IFERROR(VLOOKUP(A68, [1]Otrosí!A:F, 6, FALSE), "0")</f>
        <v>0</v>
      </c>
      <c r="I68" s="13">
        <f t="shared" si="4"/>
        <v>1458418665.6900001</v>
      </c>
      <c r="J68" s="38">
        <v>1458418665.6900001</v>
      </c>
      <c r="K68" s="16">
        <f t="shared" si="5"/>
        <v>0</v>
      </c>
      <c r="L68" s="17">
        <f t="shared" si="6"/>
        <v>1</v>
      </c>
      <c r="M68" s="18">
        <f>[1]Contratos!O68</f>
        <v>46105</v>
      </c>
      <c r="N68" s="18">
        <f>[1]Contratos!P68</f>
        <v>46106</v>
      </c>
      <c r="O68" s="18">
        <f>[1]Contratos!Q68</f>
        <v>46387</v>
      </c>
      <c r="P68" s="18" t="str">
        <f>IFERROR(VLOOKUP(A68, [1]Otrosí!A:L, 7, FALSE), "N/A")</f>
        <v>N/A</v>
      </c>
      <c r="Q68" s="39" t="s">
        <v>123</v>
      </c>
      <c r="R68" s="31" t="s">
        <v>46</v>
      </c>
      <c r="S68" s="40" t="s">
        <v>124</v>
      </c>
      <c r="T68" s="41" t="s">
        <v>125</v>
      </c>
      <c r="U68" s="10" t="str">
        <f>[1]Contratos!C68</f>
        <v>PJ</v>
      </c>
      <c r="V68" s="10" t="str">
        <f>[1]Contratos!I68</f>
        <v>TECNOLOGÍAS Y SIST. DE INF. / GESTIÓN ADM. Y FIN.</v>
      </c>
      <c r="W68" s="23" t="str">
        <f>[1]Contratos!J68</f>
        <v>EDWIN ALBERTO VARGAS</v>
      </c>
      <c r="X68" s="24" cm="1">
        <f t="array" ref="X68">IFERROR(VLOOKUP(W68,[1]COORD!$A$27:$B$67, 2, FALSE),[1]COORD!$B$27:$B$67)</f>
        <v>7173927</v>
      </c>
      <c r="Y68" s="25" t="s">
        <v>57</v>
      </c>
      <c r="Z68" s="26">
        <v>800153993</v>
      </c>
      <c r="AA68" s="27" cm="1">
        <f t="array" ref="AA68">IF(Y68&lt;&gt;"NIT","N/A",IF(OR(Z68="",Z68="N/A"),"N/A",IF(ISERROR(VALUE(IF(ISNUMBER(FIND("-",TEXT(Z68,"@"))),LEFT(TEXT(Z68,"@"),FIND("-",TEXT(Z68,"@"))-1),TEXT(Z68,"@")))),"N/A",IF(MOD(SUMPRODUCT(VALUE(MID(TEXT(VALUE(IF(ISNUMBER(FIND("-",TEXT(Z68,"@"))),LEFT(TEXT(Z68,"@"),FIND("-",TEXT(Z68,"@"))-1),TEXT(Z68,"@"))),"000000000000000"),{15,14,13,12,11,10,9,8,7,6,5,4,3,2,1},1)),{3,7,13,17,19,23,29,37,41,43,47,53,59,67,71}),11)=0,0,IF(MOD(SUMPRODUCT(VALUE(MID(TEXT(VALUE(IF(ISNUMBER(FIND("-",TEXT(Z68,"@"))),LEFT(TEXT(Z68,"@"),FIND("-",TEXT(Z68,"@"))-1),TEXT(Z68,"@"))),"000000000000000"),{15,14,13,12,11,10,9,8,7,6,5,4,3,2,1},1)),{3,7,13,17,19,23,29,37,41,43,47,53,59,67,71}),11)=1,1,11-MOD(SUMPRODUCT(VALUE(MID(TEXT(VALUE(IF(ISNUMBER(FIND("-",TEXT(Z68,"@"))),LEFT(TEXT(Z68,"@"),FIND("-",TEXT(Z68,"@"))-1),TEXT(Z68,"@"))),"000000000000000"),{15,14,13,12,11,10,9,8,7,6,5,4,3,2,1},1)),{3,7,13,17,19,23,29,37,41,43,47,53,59,67,71}),11))))))</f>
        <v>7</v>
      </c>
      <c r="AB68" s="27">
        <v>81112101</v>
      </c>
      <c r="AC68" s="29" t="str">
        <f>[1]Contratos!Z68</f>
        <v>N/A</v>
      </c>
      <c r="AD68" s="30">
        <f t="shared" si="7"/>
        <v>282</v>
      </c>
      <c r="AE68" s="31" t="s">
        <v>58</v>
      </c>
      <c r="AF68" s="31" t="str" cm="1">
        <f t="array" ref="AF68">IF(AG68="","",IFERROR(_xlfn.LET(_xlpm.x,INDEX([1]RP!$Z$2:$Z$706,MATCH(AG68&amp;"",[1]RP!$A$2:$A$706&amp;"",0)),IF(_xlpm.x="","",_xlpm.x)),""))</f>
        <v>10226</v>
      </c>
      <c r="AG68" s="31" cm="1">
        <f t="array" ref="AG68">IF(A68="","",IFERROR(_xlfn.LET(_xlpm.rp,[1]RP!$A$2:$A$706,_xlpm.dt,IFERROR(DATE(--LEFT([1]RP!$B$2:$B$706,4),--MID([1]RP!$B$2:$B$706,6,2),--MID([1]RP!$B$2:$B$706,9,2)),0),_xlpm.qid,UPPER(SUBSTITUTE(SUBSTITUTE(SUBSTITUTE(SUBSTITUTE([1]RP!$Q$2:$Q$706,".",""),"-","")," ",""),"O","0")),_xlpm.eid,UPPER(SUBSTITUTE(SUBSTITUTE(SUBSTITUTE(SUBSTITUTE(Z68,".",""),"-","")," ",""),"O","0")),_xlpm.qnm,UPPER(SUBSTITUTE(SUBSTITUTE(SUBSTITUTE(SUBSTITUTE(SUBSTITUTE([1]RP!$R$2:$R$706,".",""),"-","")," ",""),"Á","A"),"É","E")),_xlpm.enm,UPPER(SUBSTITUTE(SUBSTITUTE(SUBSTITUTE(SUBSTITUTE(SUBSTITUTE(B68,".",""),"-",""),"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68,"CONTRATO ")," DE")&amp;"/2026",_xlpm.dm,--ISNUMBER(SEARCH(_xlpm.num,_xlpm.sup)),_xlpm.dif,IF(_xlpm.ok,(1-_xlpm.dm)*1000000+IF(AND(ISNUMBER(M68),M68&gt;0),ABS(_xlpm.dt-M68),0),1E+99),_xlpm.md,MIN(_xlpm.dif),INDEX(_xlfn._xlws.FILTER(_xlpm.rp,(_xlpm.ok&gt;0)*(_xlpm.dif=_xlpm.md)),1)),""))</f>
        <v>16026</v>
      </c>
      <c r="AH68" s="32" cm="1">
        <f t="array" ref="AH68">IF(AF68="","",IFERROR(_xlfn.LET(_xlpm.x,INDEX([1]CDP!$B$2:$B$322,MATCH(AF68&amp;"",[1]CDP!$A$2:$A$322&amp;"",0)),IF(ISNUMBER(_xlpm.x),_xlpm.x,DATE(--LEFT(_xlpm.x,4),--MID(_xlpm.x,6,2),--MID(_xlpm.x,9,2)))),""))</f>
        <v>46083</v>
      </c>
    </row>
    <row r="69" spans="1:34" ht="61.5" customHeight="1" x14ac:dyDescent="0.35">
      <c r="A69" s="1" t="str">
        <f>[1]Contratos!A69</f>
        <v>CONTRATO 68 DE 2026</v>
      </c>
      <c r="B69" s="10" t="str">
        <f>[1]Contratos!B69</f>
        <v>INELMED DE COLOMBIA S.A.S</v>
      </c>
      <c r="C69" s="10" t="str">
        <f>[1]Contratos!E69</f>
        <v>Mínima cuantía</v>
      </c>
      <c r="D69" s="10" t="s">
        <v>126</v>
      </c>
      <c r="E69" s="11" t="str">
        <f>[1]Contratos!F69</f>
        <v>prestar el servicio de inspección, pruebas y mantenimiento preventivo y correctivo, con suministro de repuestos a todo costo, para el sistema de detección de incendios ubicados en la sede de la Comisión de Regulación de Comunicaciones – CRC, de acuerdo con las especificaciones técnicas descritas en el presente proceso</v>
      </c>
      <c r="F69" s="12">
        <v>18622098</v>
      </c>
      <c r="G69" s="13">
        <f>[1]Contratos!G69</f>
        <v>7587000</v>
      </c>
      <c r="H69" s="14" t="str">
        <f>IFERROR(VLOOKUP(A69, [1]Otrosí!A:F, 6, FALSE), "0")</f>
        <v>0</v>
      </c>
      <c r="I69" s="13">
        <f t="shared" si="4"/>
        <v>7587000</v>
      </c>
      <c r="J69" s="15">
        <f>IFERROR(_xlfn.LET(_xlpm.x,_xlfn.LET(_xlpm.n,--_xlfn.TEXTBEFORE(_xlfn.TEXTAFTER(A69,"CONTRATO ")," DE"),_xlpm.c,"CONTRATO "&amp;TEXT(_xlpm.n,"00")&amp;" DE 2026",_xlpm.h,'[1]SECOP II'!$A$1:$CQ$1,_xlpm.d,'[1]SECOP II'!$A$2:$CQ$94,_xlpm.r,INDEX(_xlpm.d,0,MATCH("Referencia del Contrato",_xlpm.h,0)),INDEX(_xlpm.d,MATCH(_xlpm.c,_xlpm.r,0),MATCH("Valor Pagado",_xlpm.h,0))),_xlfn.NUMBERVALUE(SUBSTITUTE(_xlpm.x,"$",""),".",",")),"")</f>
        <v>3793500</v>
      </c>
      <c r="K69" s="16">
        <f t="shared" si="5"/>
        <v>3793500</v>
      </c>
      <c r="L69" s="17">
        <f t="shared" si="6"/>
        <v>0.5</v>
      </c>
      <c r="M69" s="18">
        <f>[1]Contratos!O69</f>
        <v>46126</v>
      </c>
      <c r="N69" s="18">
        <f>[1]Contratos!P69</f>
        <v>46127</v>
      </c>
      <c r="O69" s="18">
        <f>[1]Contratos!Q69</f>
        <v>46371</v>
      </c>
      <c r="P69" s="18" t="str">
        <f>IFERROR(VLOOKUP(A69, [1]Otrosí!A:L, 7, FALSE), "N/A")</f>
        <v>N/A</v>
      </c>
      <c r="Q69" s="19" t="str">
        <f>IFERROR(_xlfn.LET(_xlpm.h,'[1]SECOP II'!$A$1:$CQ$1,_xlpm.d,'[1]SECOP II'!$A$2:$CQ$94,_xlpm.r,INDEX(_xlpm.d,0,MATCH("Referencia del Contrato",_xlpm.h,0)),INDEX(_xlpm.d,MATCH("CONTRATO 68 DE 2026",_xlpm.r,0),MATCH("Tipo de Contrato",_xlpm.h,0))),"")</f>
        <v>Prestación de servicios</v>
      </c>
      <c r="R69" s="20" t="str">
        <f>IFERROR(_xlfn.LET(_xlpm.n,--_xlfn.TEXTBEFORE(_xlfn.TEXTAFTER(A69,"CONTRATO ")," DE"),_xlpm.c,"CONTRATO "&amp;TEXT(_xlpm.n,"00")&amp;" DE 2026",_xlpm.h,'[1]SECOP II'!$A$1:$CQ$1,_xlpm.d,'[1]SECOP II'!$A$2:$CQ$94,_xlpm.r,INDEX(_xlpm.d,0,MATCH("Referencia del Contrato",_xlpm.h,0)),INDEX(_xlpm.d,MATCH(_xlpm.c,_xlpm.r,0),MATCH("Destino Gasto",_xlpm.h,0))),"")</f>
        <v>Funcionamiento</v>
      </c>
      <c r="S69" s="34" t="str">
        <f>IFERROR(_xlfn.LET(_xlpm.n,--_xlfn.TEXTBEFORE(_xlfn.TEXTAFTER(A69,"CONTRATO ")," DE"),_xlpm.c,"CONTRATO "&amp;TEXT(_xlpm.n,"00")&amp;" DE 2026",_xlpm.h,'[1]SECOP II'!$A$1:$CQ$1,_xlpm.d,'[1]SECOP II'!$A$2:$CQ$94,_xlpm.r,INDEX(_xlpm.d,0,MATCH("Referencia del Contrato",_xlpm.h,0)),INDEX(_xlpm.d,MATCH(_xlpm.c,_xlpm.r,0),MATCH("URLProceso",_xlpm.h,0))),"")</f>
        <v>https://community.secop.gov.co/Public/Tendering/OpportunityDetail/Index?noticeUID=CO1.NTC.10128576&amp;isFromPublicArea=True&amp;isModal=true&amp;asPopupView=true</v>
      </c>
      <c r="T69" s="22" t="str">
        <f>IFERROR(_xlfn.LET(_xlpm.h,'[1]SECOP II'!$A$1:$CQ$1,_xlpm.d,'[1]SECOP II'!$A$2:$CQ$94,_xlpm.r,INDEX(_xlpm.d,0,MATCH("Referencia del Contrato",_xlpm.h,0)),INDEX(_xlpm.d,MATCH("CONTRATO 68 DE 2026",_xlpm.r,0),MATCH("Estado Contrato",_xlpm.h,0))),"")</f>
        <v>En ejecución</v>
      </c>
      <c r="U69" s="10" t="str">
        <f>[1]Contratos!C69</f>
        <v>PJ</v>
      </c>
      <c r="V69" s="10" t="str">
        <f>[1]Contratos!I69</f>
        <v>GESTIÓN ADM. Y FIN</v>
      </c>
      <c r="W69" s="23" t="str">
        <f>[1]Contratos!J69</f>
        <v>LUIS JORGE GUEVARA</v>
      </c>
      <c r="X69" s="24" cm="1">
        <f t="array" ref="X69">IFERROR(VLOOKUP(W69,[1]COORD!$A$27:$B$67, 2, FALSE),[1]COORD!$B$27:$B$67)</f>
        <v>80811747</v>
      </c>
      <c r="Y69" s="25" t="s">
        <v>57</v>
      </c>
      <c r="Z69" s="26">
        <v>900064651</v>
      </c>
      <c r="AA69" s="27" cm="1">
        <f t="array" ref="AA69">IF(Y69&lt;&gt;"NIT","N/A",IF(OR(Z69="",Z69="N/A"),"N/A",IF(ISERROR(VALUE(IF(ISNUMBER(FIND("-",TEXT(Z69,"@"))),LEFT(TEXT(Z69,"@"),FIND("-",TEXT(Z69,"@"))-1),TEXT(Z69,"@")))),"N/A",IF(MOD(SUMPRODUCT(VALUE(MID(TEXT(VALUE(IF(ISNUMBER(FIND("-",TEXT(Z69,"@"))),LEFT(TEXT(Z69,"@"),FIND("-",TEXT(Z69,"@"))-1),TEXT(Z69,"@"))),"000000000000000"),{15,14,13,12,11,10,9,8,7,6,5,4,3,2,1},1)),{3,7,13,17,19,23,29,37,41,43,47,53,59,67,71}),11)=0,0,IF(MOD(SUMPRODUCT(VALUE(MID(TEXT(VALUE(IF(ISNUMBER(FIND("-",TEXT(Z69,"@"))),LEFT(TEXT(Z69,"@"),FIND("-",TEXT(Z69,"@"))-1),TEXT(Z69,"@"))),"000000000000000"),{15,14,13,12,11,10,9,8,7,6,5,4,3,2,1},1)),{3,7,13,17,19,23,29,37,41,43,47,53,59,67,71}),11)=1,1,11-MOD(SUMPRODUCT(VALUE(MID(TEXT(VALUE(IF(ISNUMBER(FIND("-",TEXT(Z69,"@"))),LEFT(TEXT(Z69,"@"),FIND("-",TEXT(Z69,"@"))-1),TEXT(Z69,"@"))),"000000000000000"),{15,14,13,12,11,10,9,8,7,6,5,4,3,2,1},1)),{3,7,13,17,19,23,29,37,41,43,47,53,59,67,71}),11))))))</f>
        <v>4</v>
      </c>
      <c r="AB69" s="27">
        <v>46191508</v>
      </c>
      <c r="AC69" s="29" t="str">
        <f>[1]Contratos!Z69</f>
        <v>N/A</v>
      </c>
      <c r="AD69" s="30">
        <f t="shared" si="7"/>
        <v>245</v>
      </c>
      <c r="AE69" s="31" t="s">
        <v>46</v>
      </c>
      <c r="AF69" s="31" t="str" cm="1">
        <f t="array" ref="AF69">IF(AG69="","",IFERROR(_xlfn.LET(_xlpm.x,INDEX([1]RP!$Z$2:$Z$706,MATCH(AG69&amp;"",[1]RP!$A$2:$A$706&amp;"",0)),IF(_xlpm.x="","",_xlpm.x)),""))</f>
        <v>10926</v>
      </c>
      <c r="AG69" s="31" cm="1">
        <f t="array" ref="AG69">IF(A69="","",IFERROR(_xlfn.LET(_xlpm.rp,[1]RP!$A$2:$A$706,_xlpm.dt,IFERROR(DATE(--LEFT([1]RP!$B$2:$B$706,4),--MID([1]RP!$B$2:$B$706,6,2),--MID([1]RP!$B$2:$B$706,9,2)),0),_xlpm.qid,UPPER(SUBSTITUTE(SUBSTITUTE(SUBSTITUTE(SUBSTITUTE([1]RP!$Q$2:$Q$706,".",""),"-","")," ",""),"O","0")),_xlpm.eid,UPPER(SUBSTITUTE(SUBSTITUTE(SUBSTITUTE(SUBSTITUTE(Z69,".",""),"-","")," ",""),"O","0")),_xlpm.qnm,UPPER(SUBSTITUTE(SUBSTITUTE(SUBSTITUTE(SUBSTITUTE(SUBSTITUTE([1]RP!$R$2:$R$706,".",""),"-","")," ",""),"Á","A"),"É","E")),_xlpm.enm,UPPER(SUBSTITUTE(SUBSTITUTE(SUBSTITUTE(SUBSTITUTE(SUBSTITUTE(B69,".",""),"-",""),"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69,"CONTRATO ")," DE")&amp;"/2026",_xlpm.dm,--ISNUMBER(SEARCH(_xlpm.num,_xlpm.sup)),_xlpm.dif,IF(_xlpm.ok,(1-_xlpm.dm)*1000000+IF(AND(ISNUMBER(M69),M69&gt;0),ABS(_xlpm.dt-M69),0),1E+99),_xlpm.md,MIN(_xlpm.dif),INDEX(_xlfn._xlws.FILTER(_xlpm.rp,(_xlpm.ok&gt;0)*(_xlpm.dif=_xlpm.md)),1)),""))</f>
        <v>17426</v>
      </c>
      <c r="AH69" s="32" cm="1">
        <f t="array" ref="AH69">IF(AF69="","",IFERROR(_xlfn.LET(_xlpm.x,INDEX([1]CDP!$B$2:$B$322,MATCH(AF69&amp;"",[1]CDP!$A$2:$A$322&amp;"",0)),IF(ISNUMBER(_xlpm.x),_xlpm.x,DATE(--LEFT(_xlpm.x,4),--MID(_xlpm.x,6,2),--MID(_xlpm.x,9,2)))),""))</f>
        <v>46097</v>
      </c>
    </row>
    <row r="70" spans="1:34" ht="61.5" customHeight="1" x14ac:dyDescent="0.35">
      <c r="A70" s="1" t="str">
        <f>[1]Contratos!A70</f>
        <v>CONTRATO 69 DE 2026</v>
      </c>
      <c r="B70" s="10" t="str">
        <f>[1]Contratos!B70</f>
        <v>GESTION AMBIENTAL DE COLOMBIA</v>
      </c>
      <c r="C70" s="10" t="str">
        <f>[1]Contratos!E70</f>
        <v>Mínima cuantía</v>
      </c>
      <c r="D70" s="10" t="s">
        <v>127</v>
      </c>
      <c r="E70" s="11" t="str">
        <f>[1]Contratos!F70</f>
        <v>Contratar la prestación del servicio de recolección, transporte, almacenamiento, tratamiento y/o disposición final de los residuos peligrosos incluidos RAEE, generados en la Comisión de Regulación de Comunicaciones</v>
      </c>
      <c r="F70" s="12">
        <v>466447</v>
      </c>
      <c r="G70" s="13">
        <f>[1]Contratos!G70</f>
        <v>418050</v>
      </c>
      <c r="H70" s="14" t="str">
        <f>IFERROR(VLOOKUP(A70, [1]Otrosí!A:F, 6, FALSE), "0")</f>
        <v>0</v>
      </c>
      <c r="I70" s="13">
        <f t="shared" si="4"/>
        <v>418050</v>
      </c>
      <c r="J70" s="15">
        <f>IFERROR(_xlfn.LET(_xlpm.x,_xlfn.LET(_xlpm.n,--_xlfn.TEXTBEFORE(_xlfn.TEXTAFTER(A70,"CONTRATO ")," DE"),_xlpm.c,"CONTRATO "&amp;TEXT(_xlpm.n,"00")&amp;" DE 2026",_xlpm.h,'[1]SECOP II'!$A$1:$CQ$1,_xlpm.d,'[1]SECOP II'!$A$2:$CQ$94,_xlpm.r,INDEX(_xlpm.d,0,MATCH("Referencia del Contrato",_xlpm.h,0)),INDEX(_xlpm.d,MATCH(_xlpm.c,_xlpm.r,0),MATCH("Valor Pagado",_xlpm.h,0))),_xlfn.NUMBERVALUE(SUBSTITUTE(_xlpm.x,"$",""),".",",")),"")</f>
        <v>72600</v>
      </c>
      <c r="K70" s="16">
        <f t="shared" si="5"/>
        <v>345450</v>
      </c>
      <c r="L70" s="17">
        <f t="shared" si="6"/>
        <v>0.17366343738787227</v>
      </c>
      <c r="M70" s="18">
        <f>[1]Contratos!O70</f>
        <v>46132</v>
      </c>
      <c r="N70" s="18">
        <f>[1]Contratos!P70</f>
        <v>46133</v>
      </c>
      <c r="O70" s="18">
        <f>[1]Contratos!Q70</f>
        <v>46371</v>
      </c>
      <c r="P70" s="18" t="str">
        <f>IFERROR(VLOOKUP(A70, [1]Otrosí!A:L, 7, FALSE), "N/A")</f>
        <v>N/A</v>
      </c>
      <c r="Q70" s="19" t="str">
        <f>IFERROR(_xlfn.LET(_xlpm.h,'[1]SECOP II'!$A$1:$CQ$1,_xlpm.d,'[1]SECOP II'!$A$2:$CQ$94,_xlpm.r,INDEX(_xlpm.d,0,MATCH("Referencia del Contrato",_xlpm.h,0)),INDEX(_xlpm.d,MATCH("CONTRATO 69 DE 2026",_xlpm.r,0),MATCH("Tipo de Contrato",_xlpm.h,0))),"")</f>
        <v>Prestación de servicios</v>
      </c>
      <c r="R70" s="20" t="str">
        <f>IFERROR(_xlfn.LET(_xlpm.n,--_xlfn.TEXTBEFORE(_xlfn.TEXTAFTER(A70,"CONTRATO ")," DE"),_xlpm.c,"CONTRATO "&amp;TEXT(_xlpm.n,"00")&amp;" DE 2026",_xlpm.h,'[1]SECOP II'!$A$1:$CQ$1,_xlpm.d,'[1]SECOP II'!$A$2:$CQ$94,_xlpm.r,INDEX(_xlpm.d,0,MATCH("Referencia del Contrato",_xlpm.h,0)),INDEX(_xlpm.d,MATCH(_xlpm.c,_xlpm.r,0),MATCH("Destino Gasto",_xlpm.h,0))),"")</f>
        <v>Funcionamiento</v>
      </c>
      <c r="S70" s="34" t="str">
        <f>IFERROR(_xlfn.LET(_xlpm.n,--_xlfn.TEXTBEFORE(_xlfn.TEXTAFTER(A70,"CONTRATO ")," DE"),_xlpm.c,"CONTRATO "&amp;TEXT(_xlpm.n,"00")&amp;" DE 2026",_xlpm.h,'[1]SECOP II'!$A$1:$CQ$1,_xlpm.d,'[1]SECOP II'!$A$2:$CQ$94,_xlpm.r,INDEX(_xlpm.d,0,MATCH("Referencia del Contrato",_xlpm.h,0)),INDEX(_xlpm.d,MATCH(_xlpm.c,_xlpm.r,0),MATCH("URLProceso",_xlpm.h,0))),"")</f>
        <v>https://community.secop.gov.co/Public/Tendering/OpportunityDetail/Index?noticeUID=CO1.NTC.10128609&amp;isFromPublicArea=True&amp;isModal=true&amp;asPopupView=true</v>
      </c>
      <c r="T70" s="22" t="str">
        <f>IFERROR(_xlfn.LET(_xlpm.h,'[1]SECOP II'!$A$1:$CQ$1,_xlpm.d,'[1]SECOP II'!$A$2:$CQ$94,_xlpm.r,INDEX(_xlpm.d,0,MATCH("Referencia del Contrato",_xlpm.h,0)),INDEX(_xlpm.d,MATCH("CONTRATO 69 DE 2026",_xlpm.r,0),MATCH("Estado Contrato",_xlpm.h,0))),"")</f>
        <v>En ejecución</v>
      </c>
      <c r="U70" s="10" t="str">
        <f>[1]Contratos!C70</f>
        <v>PJ</v>
      </c>
      <c r="V70" s="10" t="str">
        <f>[1]Contratos!I70</f>
        <v>GESTIÓN ADM. Y FIN</v>
      </c>
      <c r="W70" s="23" t="str">
        <f>[1]Contratos!J70</f>
        <v>LUIS JORGE GUEVARA</v>
      </c>
      <c r="X70" s="24" cm="1">
        <f t="array" ref="X70">IFERROR(VLOOKUP(W70,[1]COORD!$A$27:$B$67, 2, FALSE),[1]COORD!$B$27:$B$67)</f>
        <v>80811747</v>
      </c>
      <c r="Y70" s="25" t="s">
        <v>57</v>
      </c>
      <c r="Z70" s="26">
        <v>900744149</v>
      </c>
      <c r="AA70" s="27" cm="1">
        <f t="array" ref="AA70">IF(Y70&lt;&gt;"NIT","N/A",IF(OR(Z70="",Z70="N/A"),"N/A",IF(ISERROR(VALUE(IF(ISNUMBER(FIND("-",TEXT(Z70,"@"))),LEFT(TEXT(Z70,"@"),FIND("-",TEXT(Z70,"@"))-1),TEXT(Z70,"@")))),"N/A",IF(MOD(SUMPRODUCT(VALUE(MID(TEXT(VALUE(IF(ISNUMBER(FIND("-",TEXT(Z70,"@"))),LEFT(TEXT(Z70,"@"),FIND("-",TEXT(Z70,"@"))-1),TEXT(Z70,"@"))),"000000000000000"),{15,14,13,12,11,10,9,8,7,6,5,4,3,2,1},1)),{3,7,13,17,19,23,29,37,41,43,47,53,59,67,71}),11)=0,0,IF(MOD(SUMPRODUCT(VALUE(MID(TEXT(VALUE(IF(ISNUMBER(FIND("-",TEXT(Z70,"@"))),LEFT(TEXT(Z70,"@"),FIND("-",TEXT(Z70,"@"))-1),TEXT(Z70,"@"))),"000000000000000"),{15,14,13,12,11,10,9,8,7,6,5,4,3,2,1},1)),{3,7,13,17,19,23,29,37,41,43,47,53,59,67,71}),11)=1,1,11-MOD(SUMPRODUCT(VALUE(MID(TEXT(VALUE(IF(ISNUMBER(FIND("-",TEXT(Z70,"@"))),LEFT(TEXT(Z70,"@"),FIND("-",TEXT(Z70,"@"))-1),TEXT(Z70,"@"))),"000000000000000"),{15,14,13,12,11,10,9,8,7,6,5,4,3,2,1},1)),{3,7,13,17,19,23,29,37,41,43,47,53,59,67,71}),11))))))</f>
        <v>6</v>
      </c>
      <c r="AB70" s="27">
        <v>76121900</v>
      </c>
      <c r="AC70" s="29" t="str">
        <f>[1]Contratos!Z70</f>
        <v>N/A</v>
      </c>
      <c r="AD70" s="30">
        <f t="shared" si="7"/>
        <v>239</v>
      </c>
      <c r="AE70" s="31" t="s">
        <v>46</v>
      </c>
      <c r="AF70" s="31" t="str" cm="1">
        <f t="array" ref="AF70">IF(AG70="","",IFERROR(_xlfn.LET(_xlpm.x,INDEX([1]RP!$Z$2:$Z$706,MATCH(AG70&amp;"",[1]RP!$A$2:$A$706&amp;"",0)),IF(_xlpm.x="","",_xlpm.x)),""))</f>
        <v>11026</v>
      </c>
      <c r="AG70" s="31" cm="1">
        <f t="array" ref="AG70">IF(A70="","",IFERROR(_xlfn.LET(_xlpm.rp,[1]RP!$A$2:$A$706,_xlpm.dt,IFERROR(DATE(--LEFT([1]RP!$B$2:$B$706,4),--MID([1]RP!$B$2:$B$706,6,2),--MID([1]RP!$B$2:$B$706,9,2)),0),_xlpm.qid,UPPER(SUBSTITUTE(SUBSTITUTE(SUBSTITUTE(SUBSTITUTE([1]RP!$Q$2:$Q$706,".",""),"-","")," ",""),"O","0")),_xlpm.eid,UPPER(SUBSTITUTE(SUBSTITUTE(SUBSTITUTE(SUBSTITUTE(Z70,".",""),"-","")," ",""),"O","0")),_xlpm.qnm,UPPER(SUBSTITUTE(SUBSTITUTE(SUBSTITUTE(SUBSTITUTE(SUBSTITUTE([1]RP!$R$2:$R$706,".",""),"-","")," ",""),"Á","A"),"É","E")),_xlpm.enm,UPPER(SUBSTITUTE(SUBSTITUTE(SUBSTITUTE(SUBSTITUTE(SUBSTITUTE(B70,".",""),"-",""),"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70,"CONTRATO ")," DE")&amp;"/2026",_xlpm.dm,--ISNUMBER(SEARCH(_xlpm.num,_xlpm.sup)),_xlpm.dif,IF(_xlpm.ok,(1-_xlpm.dm)*1000000+IF(AND(ISNUMBER(M70),M70&gt;0),ABS(_xlpm.dt-M70),0),1E+99),_xlpm.md,MIN(_xlpm.dif),INDEX(_xlfn._xlws.FILTER(_xlpm.rp,(_xlpm.ok&gt;0)*(_xlpm.dif=_xlpm.md)),1)),""))</f>
        <v>18226</v>
      </c>
      <c r="AH70" s="32" cm="1">
        <f t="array" ref="AH70">IF(AF70="","",IFERROR(_xlfn.LET(_xlpm.x,INDEX([1]CDP!$B$2:$B$322,MATCH(AF70&amp;"",[1]CDP!$A$2:$A$322&amp;"",0)),IF(ISNUMBER(_xlpm.x),_xlpm.x,DATE(--LEFT(_xlpm.x,4),--MID(_xlpm.x,6,2),--MID(_xlpm.x,9,2)))),""))</f>
        <v>46097</v>
      </c>
    </row>
    <row r="71" spans="1:34" ht="61.5" customHeight="1" x14ac:dyDescent="0.35">
      <c r="A71" s="1" t="str">
        <f>[1]Contratos!A71</f>
        <v>CONTRATO 70 DE 2026</v>
      </c>
      <c r="B71" s="10" t="str">
        <f>[1]Contratos!B71</f>
        <v>S.L.A. &amp; MEDIOS SAS</v>
      </c>
      <c r="C71" s="10" t="str">
        <f>[1]Contratos!E71</f>
        <v>Mínima cuantía</v>
      </c>
      <c r="D71" s="10" t="s">
        <v>128</v>
      </c>
      <c r="E71" s="11" t="str">
        <f>[1]Contratos!F71</f>
        <v>Adquirir la impresión y suministro de veinticinco (25) carnets, para la identificación de los funcionarios de planta de la Comisión de Regulación de Comunicaciones.</v>
      </c>
      <c r="F71" s="12">
        <v>346625</v>
      </c>
      <c r="G71" s="13">
        <f>[1]Contratos!G71</f>
        <v>270000</v>
      </c>
      <c r="H71" s="14" t="str">
        <f>IFERROR(VLOOKUP(A71, [1]Otrosí!A:F, 6, FALSE), "0")</f>
        <v>0</v>
      </c>
      <c r="I71" s="13">
        <f t="shared" si="4"/>
        <v>270000</v>
      </c>
      <c r="J71" s="15">
        <f>IFERROR(_xlfn.LET(_xlpm.x,_xlfn.LET(_xlpm.n,--_xlfn.TEXTBEFORE(_xlfn.TEXTAFTER(A71,"CONTRATO ")," DE"),_xlpm.c,"CONTRATO "&amp;TEXT(_xlpm.n,"00")&amp;" DE 2026",_xlpm.h,'[1]SECOP II'!$A$1:$CQ$1,_xlpm.d,'[1]SECOP II'!$A$2:$CQ$94,_xlpm.r,INDEX(_xlpm.d,0,MATCH("Referencia del Contrato",_xlpm.h,0)),INDEX(_xlpm.d,MATCH(_xlpm.c,_xlpm.r,0),MATCH("Valor Pagado",_xlpm.h,0))),_xlfn.NUMBERVALUE(SUBSTITUTE(_xlpm.x,"$",""),".",",")),"")</f>
        <v>118800</v>
      </c>
      <c r="K71" s="16">
        <f t="shared" si="5"/>
        <v>151200</v>
      </c>
      <c r="L71" s="17">
        <f t="shared" si="6"/>
        <v>0.44</v>
      </c>
      <c r="M71" s="18">
        <f>[1]Contratos!O71</f>
        <v>46133</v>
      </c>
      <c r="N71" s="18">
        <f>[1]Contratos!P71</f>
        <v>46142</v>
      </c>
      <c r="O71" s="18">
        <f>[1]Contratos!Q71</f>
        <v>46371</v>
      </c>
      <c r="P71" s="18" t="str">
        <f>IFERROR(VLOOKUP(A71, [1]Otrosí!A:L, 7, FALSE), "N/A")</f>
        <v>N/A</v>
      </c>
      <c r="Q71" s="19" t="str">
        <f>IFERROR(_xlfn.LET(_xlpm.h,'[1]SECOP II'!$A$1:$CQ$1,_xlpm.d,'[1]SECOP II'!$A$2:$CQ$94,_xlpm.r,INDEX(_xlpm.d,0,MATCH("Referencia del Contrato",_xlpm.h,0)),INDEX(_xlpm.d,MATCH("CONTRATO 70 DE 2026",_xlpm.r,0),MATCH("Tipo de Contrato",_xlpm.h,0))),"")</f>
        <v>Suministros</v>
      </c>
      <c r="R71" s="20" t="str">
        <f>IFERROR(_xlfn.LET(_xlpm.n,--_xlfn.TEXTBEFORE(_xlfn.TEXTAFTER(A71,"CONTRATO ")," DE"),_xlpm.c,"CONTRATO "&amp;TEXT(_xlpm.n,"00")&amp;" DE 2026",_xlpm.h,'[1]SECOP II'!$A$1:$CQ$1,_xlpm.d,'[1]SECOP II'!$A$2:$CQ$94,_xlpm.r,INDEX(_xlpm.d,0,MATCH("Referencia del Contrato",_xlpm.h,0)),INDEX(_xlpm.d,MATCH(_xlpm.c,_xlpm.r,0),MATCH("Destino Gasto",_xlpm.h,0))),"")</f>
        <v>Funcionamiento</v>
      </c>
      <c r="S71" s="34" t="str">
        <f>IFERROR(_xlfn.LET(_xlpm.n,--_xlfn.TEXTBEFORE(_xlfn.TEXTAFTER(A71,"CONTRATO ")," DE"),_xlpm.c,"CONTRATO "&amp;TEXT(_xlpm.n,"00")&amp;" DE 2026",_xlpm.h,'[1]SECOP II'!$A$1:$CQ$1,_xlpm.d,'[1]SECOP II'!$A$2:$CQ$94,_xlpm.r,INDEX(_xlpm.d,0,MATCH("Referencia del Contrato",_xlpm.h,0)),INDEX(_xlpm.d,MATCH(_xlpm.c,_xlpm.r,0),MATCH("URLProceso",_xlpm.h,0))),"")</f>
        <v>https://community.secop.gov.co/Public/Tendering/OpportunityDetail/Index?noticeUID=CO1.NTC.10140135&amp;isFromPublicArea=True&amp;isModal=true&amp;asPopupView=true</v>
      </c>
      <c r="T71" s="22" t="str">
        <f>IFERROR(_xlfn.LET(_xlpm.h,'[1]SECOP II'!$A$1:$CQ$1,_xlpm.d,'[1]SECOP II'!$A$2:$CQ$94,_xlpm.r,INDEX(_xlpm.d,0,MATCH("Referencia del Contrato",_xlpm.h,0)),INDEX(_xlpm.d,MATCH("CONTRATO 70 DE 2026",_xlpm.r,0),MATCH("Estado Contrato",_xlpm.h,0))),"")</f>
        <v>En ejecución</v>
      </c>
      <c r="U71" s="10" t="str">
        <f>[1]Contratos!C71</f>
        <v>PJ</v>
      </c>
      <c r="V71" s="10" t="str">
        <f>[1]Contratos!I71</f>
        <v>GESTIÓN ADM. Y FIN</v>
      </c>
      <c r="W71" s="23" t="str">
        <f>[1]Contratos!J71</f>
        <v>CLAUDIA PALACIO</v>
      </c>
      <c r="X71" s="24" cm="1">
        <f t="array" ref="X71">IFERROR(VLOOKUP(W71,[1]COORD!$A$27:$B$67, 2, FALSE),[1]COORD!$B$27:$B$67)</f>
        <v>30322559</v>
      </c>
      <c r="Y71" s="25" t="s">
        <v>57</v>
      </c>
      <c r="Z71" s="26">
        <v>901999408</v>
      </c>
      <c r="AA71" s="27" cm="1">
        <f t="array" ref="AA71">IF(OR(Z71="",Z71="N/A"),"N/A",IF(ISERROR(VALUE(IF(ISNUMBER(FIND("-",TEXT(Z71,"@"))),LEFT(TEXT(Z71,"@"),FIND("-",TEXT(Z71,"@"))-1),TEXT(Z71,"@")))),"N/A",IF(MOD(SUMPRODUCT(VALUE(MID(TEXT(VALUE(IF(ISNUMBER(FIND("-",TEXT(Z71,"@"))),LEFT(TEXT(Z71,"@"),FIND("-",TEXT(Z71,"@"))-1),TEXT(Z71,"@"))),"000000000000000"),{15,14,13,12,11,10,9,8,7,6,5,4,3,2,1},1)),{3,7,13,17,19,23,29,37,41,43,47,53,59,67,71}),11)=0,0,IF(MOD(SUMPRODUCT(VALUE(MID(TEXT(VALUE(IF(ISNUMBER(FIND("-",TEXT(Z71,"@"))),LEFT(TEXT(Z71,"@"),FIND("-",TEXT(Z71,"@"))-1),TEXT(Z71,"@"))),"000000000000000"),{15,14,13,12,11,10,9,8,7,6,5,4,3,2,1},1)),{3,7,13,17,19,23,29,37,41,43,47,53,59,67,71}),11)=1,1,11-MOD(SUMPRODUCT(VALUE(MID(TEXT(VALUE(IF(ISNUMBER(FIND("-",TEXT(Z71,"@"))),LEFT(TEXT(Z71,"@"),FIND("-",TEXT(Z71,"@"))-1),TEXT(Z71,"@"))),"000000000000000"),{15,14,13,12,11,10,9,8,7,6,5,4,3,2,1},1)),{3,7,13,17,19,23,29,37,41,43,47,53,59,67,71}),11)))))</f>
        <v>7</v>
      </c>
      <c r="AB71" s="27">
        <v>82121500</v>
      </c>
      <c r="AC71" s="29" t="str">
        <f>[1]Contratos!Z71</f>
        <v>N/A</v>
      </c>
      <c r="AD71" s="30">
        <f t="shared" si="7"/>
        <v>238</v>
      </c>
      <c r="AE71" s="31" t="s">
        <v>46</v>
      </c>
      <c r="AF71" s="31" t="str" cm="1">
        <f t="array" ref="AF71">IF(AG71="","",IFERROR(_xlfn.LET(_xlpm.x,INDEX([1]RP!$Z$2:$Z$706,MATCH(AG71&amp;"",[1]RP!$A$2:$A$706&amp;"",0)),IF(_xlpm.x="","",_xlpm.x)),""))</f>
        <v>11126</v>
      </c>
      <c r="AG71" s="31" cm="1">
        <f t="array" ref="AG71">IF(A71="","",IFERROR(_xlfn.LET(_xlpm.rp,[1]RP!$A$2:$A$706,_xlpm.dt,IFERROR(DATE(--LEFT([1]RP!$B$2:$B$706,4),--MID([1]RP!$B$2:$B$706,6,2),--MID([1]RP!$B$2:$B$706,9,2)),0),_xlpm.qid,UPPER(SUBSTITUTE(SUBSTITUTE(SUBSTITUTE(SUBSTITUTE([1]RP!$Q$2:$Q$706,".",""),"-","")," ",""),"O","0")),_xlpm.eid,UPPER(SUBSTITUTE(SUBSTITUTE(SUBSTITUTE(SUBSTITUTE(Z71,".",""),"-","")," ",""),"O","0")),_xlpm.qnm,UPPER(SUBSTITUTE(SUBSTITUTE(SUBSTITUTE(SUBSTITUTE(SUBSTITUTE([1]RP!$R$2:$R$706,".",""),"-","")," ",""),"Á","A"),"É","E")),_xlpm.enm,UPPER(SUBSTITUTE(SUBSTITUTE(SUBSTITUTE(SUBSTITUTE(SUBSTITUTE(B71,".",""),"-",""),"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71,"CONTRATO ")," DE")&amp;"/2026",_xlpm.dm,--ISNUMBER(SEARCH(_xlpm.num,_xlpm.sup)),_xlpm.dif,IF(_xlpm.ok,(1-_xlpm.dm)*1000000+IF(AND(ISNUMBER(M71),M71&gt;0),ABS(_xlpm.dt-M71),0),1E+99),_xlpm.md,MIN(_xlpm.dif),INDEX(_xlfn._xlws.FILTER(_xlpm.rp,(_xlpm.ok&gt;0)*(_xlpm.dif=_xlpm.md)),1)),""))</f>
        <v>18326</v>
      </c>
      <c r="AH71" s="32" cm="1">
        <f t="array" ref="AH71">IF(AF71="","",IFERROR(_xlfn.LET(_xlpm.x,INDEX([1]CDP!$B$2:$B$322,MATCH(AF71&amp;"",[1]CDP!$A$2:$A$322&amp;"",0)),IF(ISNUMBER(_xlpm.x),_xlpm.x,DATE(--LEFT(_xlpm.x,4),--MID(_xlpm.x,6,2),--MID(_xlpm.x,9,2)))),""))</f>
        <v>46100</v>
      </c>
    </row>
    <row r="72" spans="1:34" ht="61.5" customHeight="1" x14ac:dyDescent="0.35">
      <c r="A72" s="1" t="str">
        <f>[1]Contratos!A72</f>
        <v>CONTRATO 71 DE 2026 -  OC 163478</v>
      </c>
      <c r="B72" s="10" t="str">
        <f>[1]Contratos!B72</f>
        <v>CONSORCIO ROYAL-SOLTELCO</v>
      </c>
      <c r="C72" s="10" t="str">
        <f>[1]Contratos!E72</f>
        <v>AMP/IAD/CGS</v>
      </c>
      <c r="D72" s="10" t="s">
        <v>129</v>
      </c>
      <c r="E72" s="11" t="str">
        <f>[1]Contratos!F72</f>
        <v>Renovar y adquirir, por un (1) añolas suscripciones de productos Microsoftrequeridas por la Comisión de Regulación deComunicaciones, bajo el esquema delicenciamiento CSP, con el fin de garantizar lacontinuidad de los servicios de colaboración,productividad, analítica de datos y seguridad quesoportan las funciones de la Entidad</v>
      </c>
      <c r="F72" s="12">
        <v>441833840</v>
      </c>
      <c r="G72" s="13">
        <f>[1]Contratos!G72</f>
        <v>310475316</v>
      </c>
      <c r="H72" s="14" t="str">
        <f>IFERROR(VLOOKUP(A72, [1]Otrosí!A:F, 6, FALSE), "0")</f>
        <v>0</v>
      </c>
      <c r="I72" s="13">
        <f t="shared" si="4"/>
        <v>310475316</v>
      </c>
      <c r="J72" s="38">
        <v>310475316</v>
      </c>
      <c r="K72" s="16">
        <f t="shared" si="5"/>
        <v>0</v>
      </c>
      <c r="L72" s="17">
        <f t="shared" si="6"/>
        <v>1</v>
      </c>
      <c r="M72" s="18">
        <f>[1]Contratos!O72</f>
        <v>46129</v>
      </c>
      <c r="N72" s="18">
        <f>[1]Contratos!P72</f>
        <v>46141</v>
      </c>
      <c r="O72" s="18">
        <f>[1]Contratos!Q72</f>
        <v>46505</v>
      </c>
      <c r="P72" s="18" t="str">
        <f>IFERROR(VLOOKUP(A72, [1]Otrosí!A:L, 7, FALSE), "N/A")</f>
        <v>N/A</v>
      </c>
      <c r="Q72" s="39" t="s">
        <v>123</v>
      </c>
      <c r="R72" s="31" t="s">
        <v>130</v>
      </c>
      <c r="S72" s="40" t="s">
        <v>131</v>
      </c>
      <c r="T72" s="41" t="s">
        <v>125</v>
      </c>
      <c r="U72" s="10" t="str">
        <f>[1]Contratos!C72</f>
        <v>PJ</v>
      </c>
      <c r="V72" s="10" t="str">
        <f>[1]Contratos!I72</f>
        <v>TECNOLOGÍAS Y SIST. DE INF.</v>
      </c>
      <c r="W72" s="23" t="str">
        <f>[1]Contratos!J72</f>
        <v>EDWIN ALBERTO VARGAS</v>
      </c>
      <c r="X72" s="24" cm="1">
        <f t="array" ref="X72">IFERROR(VLOOKUP(W72,[1]COORD!$A$27:$B$67, 2, FALSE),[1]COORD!$B$27:$B$67)</f>
        <v>7173927</v>
      </c>
      <c r="Y72" s="25" t="s">
        <v>57</v>
      </c>
      <c r="Z72" s="26">
        <v>901898179</v>
      </c>
      <c r="AA72" s="27" cm="1">
        <f t="array" ref="AA72">IF(OR(Z72="",Z72="N/A"),"N/A",IF(ISERROR(VALUE(IF(ISNUMBER(FIND("-",TEXT(Z72,"@"))),LEFT(TEXT(Z72,"@"),FIND("-",TEXT(Z72,"@"))-1),TEXT(Z72,"@")))),"N/A",IF(MOD(SUMPRODUCT(VALUE(MID(TEXT(VALUE(IF(ISNUMBER(FIND("-",TEXT(Z72,"@"))),LEFT(TEXT(Z72,"@"),FIND("-",TEXT(Z72,"@"))-1),TEXT(Z72,"@"))),"000000000000000"),{15,14,13,12,11,10,9,8,7,6,5,4,3,2,1},1)),{3,7,13,17,19,23,29,37,41,43,47,53,59,67,71}),11)=0,0,IF(MOD(SUMPRODUCT(VALUE(MID(TEXT(VALUE(IF(ISNUMBER(FIND("-",TEXT(Z72,"@"))),LEFT(TEXT(Z72,"@"),FIND("-",TEXT(Z72,"@"))-1),TEXT(Z72,"@"))),"000000000000000"),{15,14,13,12,11,10,9,8,7,6,5,4,3,2,1},1)),{3,7,13,17,19,23,29,37,41,43,47,53,59,67,71}),11)=1,1,11-MOD(SUMPRODUCT(VALUE(MID(TEXT(VALUE(IF(ISNUMBER(FIND("-",TEXT(Z72,"@"))),LEFT(TEXT(Z72,"@"),FIND("-",TEXT(Z72,"@"))-1),TEXT(Z72,"@"))),"000000000000000"),{15,14,13,12,11,10,9,8,7,6,5,4,3,2,1},1)),{3,7,13,17,19,23,29,37,41,43,47,53,59,67,71}),11)))))</f>
        <v>1</v>
      </c>
      <c r="AB72" s="27">
        <v>81112501</v>
      </c>
      <c r="AC72" s="29" t="str">
        <f>[1]Contratos!Z72</f>
        <v>N/A</v>
      </c>
      <c r="AD72" s="30">
        <f t="shared" si="7"/>
        <v>376</v>
      </c>
      <c r="AE72" s="31" t="s">
        <v>58</v>
      </c>
      <c r="AF72" s="31" t="str" cm="1">
        <f t="array" ref="AF72">IF(AG72="","",IFERROR(_xlfn.LET(_xlpm.x,INDEX([1]RP!$Z$2:$Z$706,MATCH(AG72&amp;"",[1]RP!$A$2:$A$706&amp;"",0)),IF(_xlpm.x="","",_xlpm.x)),""))</f>
        <v>11426</v>
      </c>
      <c r="AG72" s="31" cm="1">
        <f t="array" ref="AG72">IF(A72="","",IFERROR(_xlfn.LET(_xlpm.rp,[1]RP!$A$2:$A$706,_xlpm.dt,IFERROR(DATE(--LEFT([1]RP!$B$2:$B$706,4),--MID([1]RP!$B$2:$B$706,6,2),--MID([1]RP!$B$2:$B$706,9,2)),0),_xlpm.qid,UPPER(SUBSTITUTE(SUBSTITUTE(SUBSTITUTE(SUBSTITUTE([1]RP!$Q$2:$Q$706,".",""),"-","")," ",""),"O","0")),_xlpm.eid,UPPER(SUBSTITUTE(SUBSTITUTE(SUBSTITUTE(SUBSTITUTE(Z72,".",""),"-","")," ",""),"O","0")),_xlpm.qnm,UPPER(SUBSTITUTE(SUBSTITUTE(SUBSTITUTE(SUBSTITUTE(SUBSTITUTE([1]RP!$R$2:$R$706,".",""),"-","")," ",""),"Á","A"),"É","E")),_xlpm.enm,UPPER(SUBSTITUTE(SUBSTITUTE(SUBSTITUTE(SUBSTITUTE(SUBSTITUTE(B72,".",""),"-",""),"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72,"CONTRATO ")," DE")&amp;"/2026",_xlpm.dm,--ISNUMBER(SEARCH(_xlpm.num,_xlpm.sup)),_xlpm.dif,IF(_xlpm.ok,(1-_xlpm.dm)*1000000+IF(AND(ISNUMBER(M72),M72&gt;0),ABS(_xlpm.dt-M72),0),1E+99),_xlpm.md,MIN(_xlpm.dif),INDEX(_xlfn._xlws.FILTER(_xlpm.rp,(_xlpm.ok&gt;0)*(_xlpm.dif=_xlpm.md)),1)),""))</f>
        <v>18126</v>
      </c>
      <c r="AH72" s="32" cm="1">
        <f t="array" ref="AH72">IF(AF72="","",IFERROR(_xlfn.LET(_xlpm.x,INDEX([1]CDP!$B$2:$B$322,MATCH(AF72&amp;"",[1]CDP!$A$2:$A$322&amp;"",0)),IF(ISNUMBER(_xlpm.x),_xlpm.x,DATE(--LEFT(_xlpm.x,4),--MID(_xlpm.x,6,2),--MID(_xlpm.x,9,2)))),""))</f>
        <v>46108</v>
      </c>
    </row>
    <row r="73" spans="1:34" ht="61.5" customHeight="1" x14ac:dyDescent="0.35">
      <c r="A73" s="1" t="str">
        <f>[1]Contratos!A73</f>
        <v>CONTRATO 72 DE 2026</v>
      </c>
      <c r="B73" s="10" t="str">
        <f>[1]Contratos!B73</f>
        <v>IMAGROUP SAS</v>
      </c>
      <c r="C73" s="10" t="str">
        <f>[1]Contratos!E73</f>
        <v>Licitación Pública</v>
      </c>
      <c r="D73" s="10" t="s">
        <v>132</v>
      </c>
      <c r="E73" s="11" t="str">
        <f>[1]Contratos!F73</f>
        <v>Prestación integral de servicios como operador logístico para la planeación, organización, operación y ejecución de eventos institucionales, tanto presenciales como, híbridos y virtuales, necesarios para el cumplimiento de las funciones asignadas a la Comisión de Regulación de Comunicaciones (CRC) durante el año 2026.</v>
      </c>
      <c r="F73" s="12">
        <v>1200000000</v>
      </c>
      <c r="G73" s="13">
        <f>[1]Contratos!G73</f>
        <v>1200000000</v>
      </c>
      <c r="H73" s="14" t="str">
        <f>IFERROR(VLOOKUP(A73, [1]Otrosí!A:F, 6, FALSE), "0")</f>
        <v>0</v>
      </c>
      <c r="I73" s="13">
        <f t="shared" si="4"/>
        <v>1200000000</v>
      </c>
      <c r="J73" s="15">
        <f>IFERROR(_xlfn.LET(_xlpm.x,_xlfn.LET(_xlpm.n,--_xlfn.TEXTBEFORE(_xlfn.TEXTAFTER(A73,"CONTRATO ")," DE"),_xlpm.c,"CONTRATO "&amp;TEXT(_xlpm.n,"00")&amp;" DE 2026",_xlpm.h,'[1]SECOP II'!$A$1:$CQ$1,_xlpm.d,'[1]SECOP II'!$A$2:$CQ$94,_xlpm.r,INDEX(_xlpm.d,0,MATCH("Referencia del Contrato",_xlpm.h,0)),INDEX(_xlpm.d,MATCH(_xlpm.c,_xlpm.r,0),MATCH("Valor Pagado",_xlpm.h,0))),_xlfn.NUMBERVALUE(SUBSTITUTE(_xlpm.x,"$",""),".",",")),"")</f>
        <v>499165232</v>
      </c>
      <c r="K73" s="16">
        <f t="shared" si="5"/>
        <v>700834768</v>
      </c>
      <c r="L73" s="17">
        <f t="shared" si="6"/>
        <v>0.41597102666666669</v>
      </c>
      <c r="M73" s="18">
        <f>[1]Contratos!O73</f>
        <v>46148</v>
      </c>
      <c r="N73" s="18">
        <f>[1]Contratos!P73</f>
        <v>46150</v>
      </c>
      <c r="O73" s="18">
        <f>[1]Contratos!Q73</f>
        <v>46374</v>
      </c>
      <c r="P73" s="18" t="str">
        <f>IFERROR(VLOOKUP(A73, [1]Otrosí!A:L, 7, FALSE), "N/A")</f>
        <v>N/A</v>
      </c>
      <c r="Q73" s="19" t="str">
        <f>IFERROR(_xlfn.LET(_xlpm.h,'[1]SECOP II'!$A$1:$CQ$1,_xlpm.d,'[1]SECOP II'!$A$2:$CQ$94,_xlpm.r,INDEX(_xlpm.d,0,MATCH("Referencia del Contrato",_xlpm.h,0)),INDEX(_xlpm.d,MATCH("CONTRATO 72 DE 2026",_xlpm.r,0),MATCH("Tipo de Contrato",_xlpm.h,0))),"")</f>
        <v>Prestación de servicios</v>
      </c>
      <c r="R73" s="20" t="str">
        <f>IFERROR(_xlfn.LET(_xlpm.n,--_xlfn.TEXTBEFORE(_xlfn.TEXTAFTER(A73,"CONTRATO ")," DE"),_xlpm.c,"CONTRATO "&amp;TEXT(_xlpm.n,"00")&amp;" DE 2026",_xlpm.h,'[1]SECOP II'!$A$1:$CQ$1,_xlpm.d,'[1]SECOP II'!$A$2:$CQ$94,_xlpm.r,INDEX(_xlpm.d,0,MATCH("Referencia del Contrato",_xlpm.h,0)),INDEX(_xlpm.d,MATCH(_xlpm.c,_xlpm.r,0),MATCH("Destino Gasto",_xlpm.h,0))),"")</f>
        <v>Inversión</v>
      </c>
      <c r="S73" s="34" t="str">
        <f>IFERROR(_xlfn.LET(_xlpm.n,--_xlfn.TEXTBEFORE(_xlfn.TEXTAFTER(A73,"CONTRATO ")," DE"),_xlpm.c,"CONTRATO "&amp;TEXT(_xlpm.n,"00")&amp;" DE 2026",_xlpm.h,'[1]SECOP II'!$A$1:$CQ$1,_xlpm.d,'[1]SECOP II'!$A$2:$CQ$94,_xlpm.r,INDEX(_xlpm.d,0,MATCH("Referencia del Contrato",_xlpm.h,0)),INDEX(_xlpm.d,MATCH(_xlpm.c,_xlpm.r,0),MATCH("URLProceso",_xlpm.h,0))),"")</f>
        <v>https://community.secop.gov.co/Public/Tendering/OpportunityDetail/Index?noticeUID=CO1.NTC.10112609&amp;isFromPublicArea=True&amp;isModal=true&amp;asPopupView=true</v>
      </c>
      <c r="T73" s="22" t="str">
        <f>IFERROR(_xlfn.LET(_xlpm.h,'[1]SECOP II'!$A$1:$CQ$1,_xlpm.d,'[1]SECOP II'!$A$2:$CQ$94,_xlpm.r,INDEX(_xlpm.d,0,MATCH("Referencia del Contrato",_xlpm.h,0)),INDEX(_xlpm.d,MATCH("CONTRATO 72 DE 2026",_xlpm.r,0),MATCH("Estado Contrato",_xlpm.h,0))),"")</f>
        <v>En ejecución</v>
      </c>
      <c r="U73" s="10" t="str">
        <f>[1]Contratos!C73</f>
        <v>PJ</v>
      </c>
      <c r="V73" s="10" t="str">
        <f>[1]Contratos!I73</f>
        <v>RELACIONES CON GRUPOS DE VALOR</v>
      </c>
      <c r="W73" s="23" t="str">
        <f>[1]Contratos!J73</f>
        <v>MARIANA SARMIENTO</v>
      </c>
      <c r="X73" s="24" cm="1">
        <f t="array" ref="X73">IFERROR(VLOOKUP(W73,[1]COORD!$A$27:$B$67, 2, FALSE),[1]COORD!$B$27:$B$67)</f>
        <v>52862292</v>
      </c>
      <c r="Y73" s="25" t="s">
        <v>57</v>
      </c>
      <c r="Z73" s="26">
        <v>900075108</v>
      </c>
      <c r="AA73" s="27" cm="1">
        <f t="array" ref="AA73">IF(OR(Z73="",Z73="N/A"),"N/A",IF(ISERROR(VALUE(IF(ISNUMBER(FIND("-",TEXT(Z73,"@"))),LEFT(TEXT(Z73,"@"),FIND("-",TEXT(Z73,"@"))-1),TEXT(Z73,"@")))),"N/A",IF(MOD(SUMPRODUCT(VALUE(MID(TEXT(VALUE(IF(ISNUMBER(FIND("-",TEXT(Z73,"@"))),LEFT(TEXT(Z73,"@"),FIND("-",TEXT(Z73,"@"))-1),TEXT(Z73,"@"))),"000000000000000"),{15,14,13,12,11,10,9,8,7,6,5,4,3,2,1},1)),{3,7,13,17,19,23,29,37,41,43,47,53,59,67,71}),11)=0,0,IF(MOD(SUMPRODUCT(VALUE(MID(TEXT(VALUE(IF(ISNUMBER(FIND("-",TEXT(Z73,"@"))),LEFT(TEXT(Z73,"@"),FIND("-",TEXT(Z73,"@"))-1),TEXT(Z73,"@"))),"000000000000000"),{15,14,13,12,11,10,9,8,7,6,5,4,3,2,1},1)),{3,7,13,17,19,23,29,37,41,43,47,53,59,67,71}),11)=1,1,11-MOD(SUMPRODUCT(VALUE(MID(TEXT(VALUE(IF(ISNUMBER(FIND("-",TEXT(Z73,"@"))),LEFT(TEXT(Z73,"@"),FIND("-",TEXT(Z73,"@"))-1),TEXT(Z73,"@"))),"000000000000000"),{15,14,13,12,11,10,9,8,7,6,5,4,3,2,1},1)),{3,7,13,17,19,23,29,37,41,43,47,53,59,67,71}),11)))))</f>
        <v>3</v>
      </c>
      <c r="AB73" s="27">
        <v>80141607</v>
      </c>
      <c r="AC73" s="29" t="str">
        <f>[1]Contratos!Z73</f>
        <v>N/A</v>
      </c>
      <c r="AD73" s="30">
        <f t="shared" si="7"/>
        <v>226</v>
      </c>
      <c r="AE73" s="31" t="s">
        <v>46</v>
      </c>
      <c r="AF73" s="31" t="str" cm="1">
        <f t="array" ref="AF73">IF(AG73="","",IFERROR(_xlfn.LET(_xlpm.x,INDEX([1]RP!$Z$2:$Z$706,MATCH(AG73&amp;"",[1]RP!$A$2:$A$706&amp;"",0)),IF(_xlpm.x="","",_xlpm.x)),""))</f>
        <v>8926</v>
      </c>
      <c r="AG73" s="31" cm="1">
        <f t="array" ref="AG73">IF(A73="","",IFERROR(_xlfn.LET(_xlpm.rp,[1]RP!$A$2:$A$706,_xlpm.dt,IFERROR(DATE(--LEFT([1]RP!$B$2:$B$706,4),--MID([1]RP!$B$2:$B$706,6,2),--MID([1]RP!$B$2:$B$706,9,2)),0),_xlpm.qid,UPPER(SUBSTITUTE(SUBSTITUTE(SUBSTITUTE(SUBSTITUTE([1]RP!$Q$2:$Q$706,".",""),"-","")," ",""),"O","0")),_xlpm.eid,UPPER(SUBSTITUTE(SUBSTITUTE(SUBSTITUTE(SUBSTITUTE(Z73,".",""),"-","")," ",""),"O","0")),_xlpm.qnm,UPPER(SUBSTITUTE(SUBSTITUTE(SUBSTITUTE(SUBSTITUTE(SUBSTITUTE([1]RP!$R$2:$R$706,".",""),"-","")," ",""),"Á","A"),"É","E")),_xlpm.enm,UPPER(SUBSTITUTE(SUBSTITUTE(SUBSTITUTE(SUBSTITUTE(SUBSTITUTE(B73,".",""),"-",""),"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73,"CONTRATO ")," DE")&amp;"/2026",_xlpm.dm,--ISNUMBER(SEARCH(_xlpm.num,_xlpm.sup)),_xlpm.dif,IF(_xlpm.ok,(1-_xlpm.dm)*1000000+IF(AND(ISNUMBER(M73),M73&gt;0),ABS(_xlpm.dt-M73),0),1E+99),_xlpm.md,MIN(_xlpm.dif),INDEX(_xlfn._xlws.FILTER(_xlpm.rp,(_xlpm.ok&gt;0)*(_xlpm.dif=_xlpm.md)),1)),""))</f>
        <v>19026</v>
      </c>
      <c r="AH73" s="32" cm="1">
        <f t="array" ref="AH73">IF(AF73="","",IFERROR(_xlfn.LET(_xlpm.x,INDEX([1]CDP!$B$2:$B$322,MATCH(AF73&amp;"",[1]CDP!$A$2:$A$322&amp;"",0)),IF(ISNUMBER(_xlpm.x),_xlpm.x,DATE(--LEFT(_xlpm.x,4),--MID(_xlpm.x,6,2),--MID(_xlpm.x,9,2)))),""))</f>
        <v>46065</v>
      </c>
    </row>
    <row r="74" spans="1:34" ht="61.5" customHeight="1" x14ac:dyDescent="0.35">
      <c r="A74" s="1" t="str">
        <f>[1]Contratos!A74</f>
        <v>CONTRATO 73 DE 2026</v>
      </c>
      <c r="B74" s="10" t="str">
        <f>[1]Contratos!B74</f>
        <v>BRANDSTRAT BIC SAS</v>
      </c>
      <c r="C74" s="10" t="str">
        <f>[1]Contratos!E74</f>
        <v>Concurso de méritos</v>
      </c>
      <c r="D74" s="10" t="s">
        <v>133</v>
      </c>
      <c r="E74" s="11" t="str">
        <f>[1]Contratos!F74</f>
        <v>EL CONTRATISTA se obliga con LA COMISIÓN a prestar los servicios de consultoría especializada para el diseño metodológico, desarrollo y entrega de los estudios denominados «El rol de los servicios OTT en el sector de las comunicaciones» y «Medición de percepción de calidad de los servicios de comunicaciones», incluyendo el análisis técnico, económico y regulatorio correspondiente, así como la formulación de recomendaciones orientadas al fortalecimiento de la prospectiva sectorial, para avanzar hacia una regulación anticipatoria, capaz de adaptarse a los cambios tecnológicos y de mercado.</v>
      </c>
      <c r="F74" s="12">
        <v>1316887515</v>
      </c>
      <c r="G74" s="13">
        <f>[1]Contratos!G74</f>
        <v>1316887500</v>
      </c>
      <c r="H74" s="14" t="str">
        <f>IFERROR(VLOOKUP(A74, [1]Otrosí!A:F, 6, FALSE), "0")</f>
        <v xml:space="preserve">N/A  </v>
      </c>
      <c r="I74" s="13">
        <f t="shared" si="4"/>
        <v>1316887500</v>
      </c>
      <c r="J74" s="15">
        <f>IFERROR(_xlfn.LET(_xlpm.x,_xlfn.LET(_xlpm.n,--_xlfn.TEXTBEFORE(_xlfn.TEXTAFTER(A74,"CONTRATO ")," DE"),_xlpm.c,"CONTRATO "&amp;TEXT(_xlpm.n,"00")&amp;" DE 2026",_xlpm.h,'[1]SECOP II'!$A$1:$CQ$1,_xlpm.d,'[1]SECOP II'!$A$2:$CQ$94,_xlpm.r,INDEX(_xlpm.d,0,MATCH("Referencia del Contrato",_xlpm.h,0)),INDEX(_xlpm.d,MATCH(_xlpm.c,_xlpm.r,0),MATCH("Valor Pagado",_xlpm.h,0))),_xlfn.NUMBERVALUE(SUBSTITUTE(_xlpm.x,"$",""),".",",")),"")</f>
        <v>329221875</v>
      </c>
      <c r="K74" s="16">
        <f t="shared" si="5"/>
        <v>987665625</v>
      </c>
      <c r="L74" s="17">
        <f t="shared" si="6"/>
        <v>0.25</v>
      </c>
      <c r="M74" s="18">
        <f>[1]Contratos!O74</f>
        <v>46164</v>
      </c>
      <c r="N74" s="18">
        <f>[1]Contratos!P74</f>
        <v>46171</v>
      </c>
      <c r="O74" s="18">
        <f>[1]Contratos!Q74</f>
        <v>46367</v>
      </c>
      <c r="P74" s="18">
        <f>IFERROR(VLOOKUP(A74, [1]Otrosí!A:L, 7, FALSE), "N/A")</f>
        <v>46387</v>
      </c>
      <c r="Q74" s="19" t="str">
        <f>IFERROR(_xlfn.LET(_xlpm.h,'[1]SECOP II'!$A$1:$CQ$1,_xlpm.d,'[1]SECOP II'!$A$2:$CQ$94,_xlpm.r,INDEX(_xlpm.d,0,MATCH("Referencia del Contrato",_xlpm.h,0)),INDEX(_xlpm.d,MATCH("CONTRATO 73 DE 2026",_xlpm.r,0),MATCH("Tipo de Contrato",_xlpm.h,0))),"")</f>
        <v>Consultoría</v>
      </c>
      <c r="R74" s="20" t="str">
        <f>IFERROR(_xlfn.LET(_xlpm.n,--_xlfn.TEXTBEFORE(_xlfn.TEXTAFTER(A74,"CONTRATO ")," DE"),_xlpm.c,"CONTRATO "&amp;TEXT(_xlpm.n,"00")&amp;" DE 2026",_xlpm.h,'[1]SECOP II'!$A$1:$CQ$1,_xlpm.d,'[1]SECOP II'!$A$2:$CQ$94,_xlpm.r,INDEX(_xlpm.d,0,MATCH("Referencia del Contrato",_xlpm.h,0)),INDEX(_xlpm.d,MATCH(_xlpm.c,_xlpm.r,0),MATCH("Destino Gasto",_xlpm.h,0))),"")</f>
        <v>Inversión</v>
      </c>
      <c r="S74" s="34" t="str">
        <f>IFERROR(_xlfn.LET(_xlpm.n,--_xlfn.TEXTBEFORE(_xlfn.TEXTAFTER(A74,"CONTRATO ")," DE"),_xlpm.c,"CONTRATO "&amp;TEXT(_xlpm.n,"00")&amp;" DE 2026",_xlpm.h,'[1]SECOP II'!$A$1:$CQ$1,_xlpm.d,'[1]SECOP II'!$A$2:$CQ$94,_xlpm.r,INDEX(_xlpm.d,0,MATCH("Referencia del Contrato",_xlpm.h,0)),INDEX(_xlpm.d,MATCH(_xlpm.c,_xlpm.r,0),MATCH("URLProceso",_xlpm.h,0))),"")</f>
        <v>https://community.secop.gov.co/Public/Tendering/OpportunityDetail/Index?noticeUID=CO1.NTC.10161916&amp;isFromPublicArea=True&amp;isModal=true&amp;asPopupView=true</v>
      </c>
      <c r="T74" s="22" t="str">
        <f>IFERROR(_xlfn.LET(_xlpm.h,'[1]SECOP II'!$A$1:$CQ$1,_xlpm.d,'[1]SECOP II'!$A$2:$CQ$94,_xlpm.r,INDEX(_xlpm.d,0,MATCH("Referencia del Contrato",_xlpm.h,0)),INDEX(_xlpm.d,MATCH("CONTRATO 73 DE 2026",_xlpm.r,0),MATCH("Estado Contrato",_xlpm.h,0))),"")</f>
        <v>Modificado</v>
      </c>
      <c r="U74" s="10" t="str">
        <f>[1]Contratos!C74</f>
        <v>PJ</v>
      </c>
      <c r="V74" s="10" t="str">
        <f>[1]Contratos!I74</f>
        <v>PROSPECTIVA ESTRATÉGICA</v>
      </c>
      <c r="W74" s="23" t="str">
        <f>[1]Contratos!J74</f>
        <v>VICTOR BALDRICH</v>
      </c>
      <c r="X74" s="24" cm="1">
        <f t="array" ref="X74">IFERROR(VLOOKUP(W74,[1]COORD!$A$27:$B$67, 2, FALSE),[1]COORD!$B$27:$B$67)</f>
        <v>1019105701</v>
      </c>
      <c r="Y74" s="25" t="s">
        <v>57</v>
      </c>
      <c r="Z74" s="26">
        <v>830100700</v>
      </c>
      <c r="AA74" s="27" cm="1">
        <f t="array" ref="AA74">IF(OR(Z74="",Z74="N/A"),"N/A",IF(ISERROR(VALUE(IF(ISNUMBER(FIND("-",TEXT(Z74,"@"))),LEFT(TEXT(Z74,"@"),FIND("-",TEXT(Z74,"@"))-1),TEXT(Z74,"@")))),"N/A",IF(MOD(SUMPRODUCT(VALUE(MID(TEXT(VALUE(IF(ISNUMBER(FIND("-",TEXT(Z74,"@"))),LEFT(TEXT(Z74,"@"),FIND("-",TEXT(Z74,"@"))-1),TEXT(Z74,"@"))),"000000000000000"),{15,14,13,12,11,10,9,8,7,6,5,4,3,2,1},1)),{3,7,13,17,19,23,29,37,41,43,47,53,59,67,71}),11)=0,0,IF(MOD(SUMPRODUCT(VALUE(MID(TEXT(VALUE(IF(ISNUMBER(FIND("-",TEXT(Z74,"@"))),LEFT(TEXT(Z74,"@"),FIND("-",TEXT(Z74,"@"))-1),TEXT(Z74,"@"))),"000000000000000"),{15,14,13,12,11,10,9,8,7,6,5,4,3,2,1},1)),{3,7,13,17,19,23,29,37,41,43,47,53,59,67,71}),11)=1,1,11-MOD(SUMPRODUCT(VALUE(MID(TEXT(VALUE(IF(ISNUMBER(FIND("-",TEXT(Z74,"@"))),LEFT(TEXT(Z74,"@"),FIND("-",TEXT(Z74,"@"))-1),TEXT(Z74,"@"))),"000000000000000"),{15,14,13,12,11,10,9,8,7,6,5,4,3,2,1},1)),{3,7,13,17,19,23,29,37,41,43,47,53,59,67,71}),11)))))</f>
        <v>8</v>
      </c>
      <c r="AB74" s="27">
        <v>81112002</v>
      </c>
      <c r="AC74" s="29" t="str">
        <f>[1]Contratos!Z74</f>
        <v>N/A</v>
      </c>
      <c r="AD74" s="30">
        <f t="shared" si="7"/>
        <v>203</v>
      </c>
      <c r="AE74" s="31" t="s">
        <v>46</v>
      </c>
      <c r="AF74" s="31" t="str" cm="1">
        <f t="array" ref="AF74">IF(AG74="","",IFERROR(_xlfn.LET(_xlpm.x,INDEX([1]RP!$Z$2:$Z$706,MATCH(AG74&amp;"",[1]RP!$A$2:$A$706&amp;"",0)),IF(_xlpm.x="","",_xlpm.x)),""))</f>
        <v>10826</v>
      </c>
      <c r="AG74" s="31" cm="1">
        <f t="array" ref="AG74">IF(A74="","",IFERROR(_xlfn.LET(_xlpm.rp,[1]RP!$A$2:$A$706,_xlpm.dt,IFERROR(DATE(--LEFT([1]RP!$B$2:$B$706,4),--MID([1]RP!$B$2:$B$706,6,2),--MID([1]RP!$B$2:$B$706,9,2)),0),_xlpm.qid,UPPER(SUBSTITUTE(SUBSTITUTE(SUBSTITUTE(SUBSTITUTE([1]RP!$Q$2:$Q$706,".",""),"-","")," ",""),"O","0")),_xlpm.eid,UPPER(SUBSTITUTE(SUBSTITUTE(SUBSTITUTE(SUBSTITUTE(Z74,".",""),"-","")," ",""),"O","0")),_xlpm.qnm,UPPER(SUBSTITUTE(SUBSTITUTE(SUBSTITUTE(SUBSTITUTE(SUBSTITUTE([1]RP!$R$2:$R$706,".",""),"-","")," ",""),"Á","A"),"É","E")),_xlpm.enm,UPPER(SUBSTITUTE(SUBSTITUTE(SUBSTITUTE(SUBSTITUTE(SUBSTITUTE(B74,".",""),"-",""),"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74,"CONTRATO ")," DE")&amp;"/2026",_xlpm.dm,--ISNUMBER(SEARCH(_xlpm.num,_xlpm.sup)),_xlpm.dif,IF(_xlpm.ok,(1-_xlpm.dm)*1000000+IF(AND(ISNUMBER(M74),M74&gt;0),ABS(_xlpm.dt-M74),0),1E+99),_xlpm.md,MIN(_xlpm.dif),INDEX(_xlfn._xlws.FILTER(_xlpm.rp,(_xlpm.ok&gt;0)*(_xlpm.dif=_xlpm.md)),1)),""))</f>
        <v>21126</v>
      </c>
      <c r="AH74" s="32" cm="1">
        <f t="array" ref="AH74">IF(AF74="","",IFERROR(_xlfn.LET(_xlpm.x,INDEX([1]CDP!$B$2:$B$322,MATCH(AF74&amp;"",[1]CDP!$A$2:$A$322&amp;"",0)),IF(ISNUMBER(_xlpm.x),_xlpm.x,DATE(--LEFT(_xlpm.x,4),--MID(_xlpm.x,6,2),--MID(_xlpm.x,9,2)))),""))</f>
        <v>46094</v>
      </c>
    </row>
    <row r="75" spans="1:34" ht="61.5" customHeight="1" x14ac:dyDescent="0.35">
      <c r="A75" s="1" t="str">
        <f>[1]Contratos!A75</f>
        <v>CONTRATO 74 DE 2026</v>
      </c>
      <c r="B75" s="10" t="str">
        <f>[1]Contratos!B75</f>
        <v>INFORMETRICS S.A.S BIC</v>
      </c>
      <c r="C75" s="10" t="str">
        <f>[1]Contratos!E75</f>
        <v>Concurso de méritos</v>
      </c>
      <c r="D75" s="10" t="s">
        <v>134</v>
      </c>
      <c r="E75" s="11" t="str">
        <f>[1]Contratos!F75</f>
        <v>EL CONTRATISTA se obliga con LA COMISIÓN a prestar los servicios de consultoría para el diseño y la realización de ejercicios de sicología del consumidor y economía del comportamiento respecto a usuarios de los servicios de comunicaciones fijas y móviles, con el propósito de identificar sus motivaciones, percepciones y expectativas frente a diferentes aspectos relacionados con la decisión de compra, las condiciones de contratación de los servicios y la atención de los operadores por medio de los canales existentes.</v>
      </c>
      <c r="F75" s="12">
        <v>516514336</v>
      </c>
      <c r="G75" s="13">
        <f>[1]Contratos!G75</f>
        <v>516514336</v>
      </c>
      <c r="H75" s="14" t="str">
        <f>IFERROR(VLOOKUP(A75, [1]Otrosí!A:F, 6, FALSE), "0")</f>
        <v>0</v>
      </c>
      <c r="I75" s="13">
        <f t="shared" si="4"/>
        <v>516514336</v>
      </c>
      <c r="J75" s="15">
        <f>IFERROR(_xlfn.LET(_xlpm.x,_xlfn.LET(_xlpm.n,--_xlfn.TEXTBEFORE(_xlfn.TEXTAFTER(A75,"CONTRATO ")," DE"),_xlpm.c,"CONTRATO "&amp;TEXT(_xlpm.n,"00")&amp;" DE 2026",_xlpm.h,'[1]SECOP II'!$A$1:$CQ$1,_xlpm.d,'[1]SECOP II'!$A$2:$CQ$94,_xlpm.r,INDEX(_xlpm.d,0,MATCH("Referencia del Contrato",_xlpm.h,0)),INDEX(_xlpm.d,MATCH(_xlpm.c,_xlpm.r,0),MATCH("Valor Pagado",_xlpm.h,0))),_xlfn.NUMBERVALUE(SUBSTITUTE(_xlpm.x,"$",""),".",",")),"")</f>
        <v>180780017.59999999</v>
      </c>
      <c r="K75" s="16">
        <f t="shared" si="5"/>
        <v>335734318.39999998</v>
      </c>
      <c r="L75" s="17">
        <f t="shared" si="6"/>
        <v>0.35</v>
      </c>
      <c r="M75" s="18">
        <f>[1]Contratos!O75</f>
        <v>46174</v>
      </c>
      <c r="N75" s="18">
        <f>[1]Contratos!P75</f>
        <v>46177</v>
      </c>
      <c r="O75" s="18">
        <f>[1]Contratos!Q75</f>
        <v>46329</v>
      </c>
      <c r="P75" s="18" t="str">
        <f>IFERROR(VLOOKUP(A75, [1]Otrosí!A:L, 7, FALSE), "N/A")</f>
        <v>N/A</v>
      </c>
      <c r="Q75" s="19" t="str">
        <f>IFERROR(_xlfn.LET(_xlpm.h,'[1]SECOP II'!$A$1:$CQ$1,_xlpm.d,'[1]SECOP II'!$A$2:$CQ$94,_xlpm.r,INDEX(_xlpm.d,0,MATCH("Referencia del Contrato",_xlpm.h,0)),INDEX(_xlpm.d,MATCH("CONTRATO 74 DE 2026",_xlpm.r,0),MATCH("Tipo de Contrato",_xlpm.h,0))),"")</f>
        <v>Consultoría</v>
      </c>
      <c r="R75" s="20" t="str">
        <f>IFERROR(_xlfn.LET(_xlpm.n,--_xlfn.TEXTBEFORE(_xlfn.TEXTAFTER(A75,"CONTRATO ")," DE"),_xlpm.c,"CONTRATO "&amp;TEXT(_xlpm.n,"00")&amp;" DE 2026",_xlpm.h,'[1]SECOP II'!$A$1:$CQ$1,_xlpm.d,'[1]SECOP II'!$A$2:$CQ$94,_xlpm.r,INDEX(_xlpm.d,0,MATCH("Referencia del Contrato",_xlpm.h,0)),INDEX(_xlpm.d,MATCH(_xlpm.c,_xlpm.r,0),MATCH("Destino Gasto",_xlpm.h,0))),"")</f>
        <v>Inversión</v>
      </c>
      <c r="S75" s="34" t="str">
        <f>IFERROR(_xlfn.LET(_xlpm.n,--_xlfn.TEXTBEFORE(_xlfn.TEXTAFTER(A75,"CONTRATO ")," DE"),_xlpm.c,"CONTRATO "&amp;TEXT(_xlpm.n,"00")&amp;" DE 2026",_xlpm.h,'[1]SECOP II'!$A$1:$CQ$1,_xlpm.d,'[1]SECOP II'!$A$2:$CQ$94,_xlpm.r,INDEX(_xlpm.d,0,MATCH("Referencia del Contrato",_xlpm.h,0)),INDEX(_xlpm.d,MATCH(_xlpm.c,_xlpm.r,0),MATCH("URLProceso",_xlpm.h,0))),"")</f>
        <v>https://community.secop.gov.co/Public/Tendering/OpportunityDetail/Index?noticeUID=CO1.NTC.10140964&amp;isFromPublicArea=True&amp;isModal=true&amp;asPopupView=true</v>
      </c>
      <c r="T75" s="22" t="str">
        <f>IFERROR(_xlfn.LET(_xlpm.h,'[1]SECOP II'!$A$1:$CQ$1,_xlpm.d,'[1]SECOP II'!$A$2:$CQ$94,_xlpm.r,INDEX(_xlpm.d,0,MATCH("Referencia del Contrato",_xlpm.h,0)),INDEX(_xlpm.d,MATCH("CONTRATO 74 DE 2026",_xlpm.r,0),MATCH("Estado Contrato",_xlpm.h,0))),"")</f>
        <v>En ejecución</v>
      </c>
      <c r="U75" s="10" t="str">
        <f>[1]Contratos!C75</f>
        <v>PJ</v>
      </c>
      <c r="V75" s="10" t="str">
        <f>[1]Contratos!I75</f>
        <v>DISEÑO REGULATORIO</v>
      </c>
      <c r="W75" s="23" t="str">
        <f>[1]Contratos!J75</f>
        <v>ALEJANDRA ARENAS</v>
      </c>
      <c r="X75" s="24" cm="1">
        <f t="array" ref="X75">IFERROR(VLOOKUP(W75,[1]COORD!$A$27:$B$67, 2, FALSE),[1]COORD!$B$27:$B$67)</f>
        <v>1020749984</v>
      </c>
      <c r="Y75" s="25" t="s">
        <v>57</v>
      </c>
      <c r="Z75" s="26">
        <v>901359468</v>
      </c>
      <c r="AA75" s="27" cm="1">
        <f t="array" ref="AA75">IF(OR(Z75="",Z75="N/A"),"N/A",IF(ISERROR(VALUE(IF(ISNUMBER(FIND("-",TEXT(Z75,"@"))),LEFT(TEXT(Z75,"@"),FIND("-",TEXT(Z75,"@"))-1),TEXT(Z75,"@")))),"N/A",IF(MOD(SUMPRODUCT(VALUE(MID(TEXT(VALUE(IF(ISNUMBER(FIND("-",TEXT(Z75,"@"))),LEFT(TEXT(Z75,"@"),FIND("-",TEXT(Z75,"@"))-1),TEXT(Z75,"@"))),"000000000000000"),{15,14,13,12,11,10,9,8,7,6,5,4,3,2,1},1)),{3,7,13,17,19,23,29,37,41,43,47,53,59,67,71}),11)=0,0,IF(MOD(SUMPRODUCT(VALUE(MID(TEXT(VALUE(IF(ISNUMBER(FIND("-",TEXT(Z75,"@"))),LEFT(TEXT(Z75,"@"),FIND("-",TEXT(Z75,"@"))-1),TEXT(Z75,"@"))),"000000000000000"),{15,14,13,12,11,10,9,8,7,6,5,4,3,2,1},1)),{3,7,13,17,19,23,29,37,41,43,47,53,59,67,71}),11)=1,1,11-MOD(SUMPRODUCT(VALUE(MID(TEXT(VALUE(IF(ISNUMBER(FIND("-",TEXT(Z75,"@"))),LEFT(TEXT(Z75,"@"),FIND("-",TEXT(Z75,"@"))-1),TEXT(Z75,"@"))),"000000000000000"),{15,14,13,12,11,10,9,8,7,6,5,4,3,2,1},1)),{3,7,13,17,19,23,29,37,41,43,47,53,59,67,71}),11)))))</f>
        <v>3</v>
      </c>
      <c r="AB75" s="27">
        <v>80141501</v>
      </c>
      <c r="AC75" s="29" t="str">
        <f>[1]Contratos!Z75</f>
        <v>N/A</v>
      </c>
      <c r="AD75" s="30">
        <f t="shared" si="7"/>
        <v>155</v>
      </c>
      <c r="AE75" s="31" t="s">
        <v>37</v>
      </c>
      <c r="AF75" s="31" t="str" cm="1">
        <f t="array" ref="AF75">IF(AG75="","",IFERROR(_xlfn.LET(_xlpm.x,INDEX([1]RP!$Z$2:$Z$706,MATCH(AG75&amp;"",[1]RP!$A$2:$A$706&amp;"",0)),IF(_xlpm.x="","",_xlpm.x)),""))</f>
        <v>10626</v>
      </c>
      <c r="AG75" s="31" cm="1">
        <f t="array" ref="AG75">IF(A75="","",IFERROR(_xlfn.LET(_xlpm.rp,[1]RP!$A$2:$A$706,_xlpm.dt,IFERROR(DATE(--LEFT([1]RP!$B$2:$B$706,4),--MID([1]RP!$B$2:$B$706,6,2),--MID([1]RP!$B$2:$B$706,9,2)),0),_xlpm.qid,UPPER(SUBSTITUTE(SUBSTITUTE(SUBSTITUTE(SUBSTITUTE([1]RP!$Q$2:$Q$706,".",""),"-","")," ",""),"O","0")),_xlpm.eid,UPPER(SUBSTITUTE(SUBSTITUTE(SUBSTITUTE(SUBSTITUTE(Z75,".",""),"-","")," ",""),"O","0")),_xlpm.qnm,UPPER(SUBSTITUTE(SUBSTITUTE(SUBSTITUTE(SUBSTITUTE(SUBSTITUTE([1]RP!$R$2:$R$706,".",""),"-","")," ",""),"Á","A"),"É","E")),_xlpm.enm,UPPER(SUBSTITUTE(SUBSTITUTE(SUBSTITUTE(SUBSTITUTE(SUBSTITUTE(B75,".",""),"-",""),"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75,"CONTRATO ")," DE")&amp;"/2026",_xlpm.dm,--ISNUMBER(SEARCH(_xlpm.num,_xlpm.sup)),_xlpm.dif,IF(_xlpm.ok,(1-_xlpm.dm)*1000000+IF(AND(ISNUMBER(M75),M75&gt;0),ABS(_xlpm.dt-M75),0),1E+99),_xlpm.md,MIN(_xlpm.dif),INDEX(_xlfn._xlws.FILTER(_xlpm.rp,(_xlpm.ok&gt;0)*(_xlpm.dif=_xlpm.md)),1)),""))</f>
        <v>22226</v>
      </c>
      <c r="AH75" s="32" cm="1">
        <f t="array" ref="AH75">IF(AF75="","",IFERROR(_xlfn.LET(_xlpm.x,INDEX([1]CDP!$B$2:$B$322,MATCH(AF75&amp;"",[1]CDP!$A$2:$A$322&amp;"",0)),IF(ISNUMBER(_xlpm.x),_xlpm.x,DATE(--LEFT(_xlpm.x,4),--MID(_xlpm.x,6,2),--MID(_xlpm.x,9,2)))),""))</f>
        <v>46087</v>
      </c>
    </row>
    <row r="76" spans="1:34" ht="61.5" customHeight="1" x14ac:dyDescent="0.35">
      <c r="A76" s="1" t="str">
        <f>[1]Contratos!A76</f>
        <v>CONTRATO 75 DE 2026</v>
      </c>
      <c r="B76" s="10" t="str">
        <f>[1]Contratos!B76</f>
        <v>VERDE ECOLÓGICO S.A.S.</v>
      </c>
      <c r="C76" s="10" t="str">
        <f>[1]Contratos!E76</f>
        <v>Mínima cuantía</v>
      </c>
      <c r="D76" s="10" t="s">
        <v>135</v>
      </c>
      <c r="E76" s="11" t="str">
        <f>[1]Contratos!F76</f>
        <v>Contratar el suministro de elementos de ferretería, materiales de construcción, herramientas y demás bienes de ferretería afines, que son requeridos para desarrollar las actividades de mantenimiento preventivo y correctivo locativo y de muebles de la Comisión de Regulación de Comunicaciones - CRC</v>
      </c>
      <c r="F76" s="12">
        <v>3536548</v>
      </c>
      <c r="G76" s="13">
        <f>[1]Contratos!G76</f>
        <v>3536548</v>
      </c>
      <c r="H76" s="14" t="str">
        <f>IFERROR(VLOOKUP(A76, [1]Otrosí!A:F, 6, FALSE), "0")</f>
        <v>0</v>
      </c>
      <c r="I76" s="13">
        <f t="shared" si="4"/>
        <v>3536548</v>
      </c>
      <c r="J76" s="15">
        <f>IFERROR(_xlfn.LET(_xlpm.x,_xlfn.LET(_xlpm.n,--_xlfn.TEXTBEFORE(_xlfn.TEXTAFTER(A76,"CONTRATO ")," DE"),_xlpm.c,"CONTRATO "&amp;TEXT(_xlpm.n,"00")&amp;" DE 2026",_xlpm.h,'[1]SECOP II'!$A$1:$CQ$1,_xlpm.d,'[1]SECOP II'!$A$2:$CQ$94,_xlpm.r,INDEX(_xlpm.d,0,MATCH("Referencia del Contrato",_xlpm.h,0)),INDEX(_xlpm.d,MATCH(_xlpm.c,_xlpm.r,0),MATCH("Valor Pagado",_xlpm.h,0))),_xlfn.NUMBERVALUE(SUBSTITUTE(_xlpm.x,"$",""),".",",")),"")</f>
        <v>703340</v>
      </c>
      <c r="K76" s="16">
        <f t="shared" si="5"/>
        <v>2833208</v>
      </c>
      <c r="L76" s="17">
        <f t="shared" si="6"/>
        <v>0.19887754952004044</v>
      </c>
      <c r="M76" s="18">
        <f>[1]Contratos!O76</f>
        <v>46198</v>
      </c>
      <c r="N76" s="18">
        <f>[1]Contratos!P76</f>
        <v>46205</v>
      </c>
      <c r="O76" s="18">
        <f>[1]Contratos!Q76</f>
        <v>46341</v>
      </c>
      <c r="P76" s="18" t="str">
        <f>IFERROR(VLOOKUP(A76, [1]Otrosí!A:L, 7, FALSE), "N/A")</f>
        <v>N/A</v>
      </c>
      <c r="Q76" s="19" t="str">
        <f>IFERROR(_xlfn.LET(_xlpm.h,'[1]SECOP II'!$A$1:$CQ$1,_xlpm.d,'[1]SECOP II'!$A$2:$CQ$94,_xlpm.r,INDEX(_xlpm.d,0,MATCH("Referencia del Contrato",_xlpm.h,0)),INDEX(_xlpm.d,MATCH("CONTRATO 75 DE 2026",_xlpm.r,0),MATCH("Tipo de Contrato",_xlpm.h,0))),"")</f>
        <v>Suministros</v>
      </c>
      <c r="R76" s="20" t="str">
        <f>IFERROR(_xlfn.LET(_xlpm.n,--_xlfn.TEXTBEFORE(_xlfn.TEXTAFTER(A76,"CONTRATO ")," DE"),_xlpm.c,"CONTRATO "&amp;TEXT(_xlpm.n,"00")&amp;" DE 2026",_xlpm.h,'[1]SECOP II'!$A$1:$CQ$1,_xlpm.d,'[1]SECOP II'!$A$2:$CQ$94,_xlpm.r,INDEX(_xlpm.d,0,MATCH("Referencia del Contrato",_xlpm.h,0)),INDEX(_xlpm.d,MATCH(_xlpm.c,_xlpm.r,0),MATCH("Destino Gasto",_xlpm.h,0))),"")</f>
        <v>Funcionamiento</v>
      </c>
      <c r="S76" s="34" t="str">
        <f>IFERROR(_xlfn.LET(_xlpm.n,--_xlfn.TEXTBEFORE(_xlfn.TEXTAFTER(A76,"CONTRATO ")," DE"),_xlpm.c,"CONTRATO "&amp;TEXT(_xlpm.n,"00")&amp;" DE 2026",_xlpm.h,'[1]SECOP II'!$A$1:$CQ$1,_xlpm.d,'[1]SECOP II'!$A$2:$CQ$94,_xlpm.r,INDEX(_xlpm.d,0,MATCH("Referencia del Contrato",_xlpm.h,0)),INDEX(_xlpm.d,MATCH(_xlpm.c,_xlpm.r,0),MATCH("URLProceso",_xlpm.h,0))),"")</f>
        <v>https://community.secop.gov.co/Public/Tendering/OpportunityDetail/Index?noticeUID=CO1.NTC.10366033&amp;isFromPublicArea=True&amp;isModal=true&amp;asPopupView=true</v>
      </c>
      <c r="T76" s="22" t="str">
        <f>IFERROR(_xlfn.LET(_xlpm.h,'[1]SECOP II'!$A$1:$CQ$1,_xlpm.d,'[1]SECOP II'!$A$2:$CQ$94,_xlpm.r,INDEX(_xlpm.d,0,MATCH("Referencia del Contrato",_xlpm.h,0)),INDEX(_xlpm.d,MATCH("CONTRATO 75 DE 2026",_xlpm.r,0),MATCH("Estado Contrato",_xlpm.h,0))),"")</f>
        <v>En ejecución</v>
      </c>
      <c r="U76" s="10" t="str">
        <f>[1]Contratos!C76</f>
        <v>PJ</v>
      </c>
      <c r="V76" s="10" t="str">
        <f>[1]Contratos!I76</f>
        <v>GESTIÓN ADM. Y FIN</v>
      </c>
      <c r="W76" s="23" t="str">
        <f>[1]Contratos!J76</f>
        <v>LUIS JORGE GUEVARA</v>
      </c>
      <c r="X76" s="24" cm="1">
        <f t="array" ref="X76">IFERROR(VLOOKUP(W76,[1]COORD!$A$27:$B$67, 2, FALSE),[1]COORD!$B$27:$B$67)</f>
        <v>80811747</v>
      </c>
      <c r="Y76" s="25" t="s">
        <v>57</v>
      </c>
      <c r="Z76" s="26">
        <v>900520676</v>
      </c>
      <c r="AA76" s="27" cm="1">
        <f t="array" ref="AA76">IF(OR(Z76="",Z76="N/A"),"N/A",IF(ISERROR(VALUE(IF(ISNUMBER(FIND("-",TEXT(Z76,"@"))),LEFT(TEXT(Z76,"@"),FIND("-",TEXT(Z76,"@"))-1),TEXT(Z76,"@")))),"N/A",IF(MOD(SUMPRODUCT(VALUE(MID(TEXT(VALUE(IF(ISNUMBER(FIND("-",TEXT(Z76,"@"))),LEFT(TEXT(Z76,"@"),FIND("-",TEXT(Z76,"@"))-1),TEXT(Z76,"@"))),"000000000000000"),{15,14,13,12,11,10,9,8,7,6,5,4,3,2,1},1)),{3,7,13,17,19,23,29,37,41,43,47,53,59,67,71}),11)=0,0,IF(MOD(SUMPRODUCT(VALUE(MID(TEXT(VALUE(IF(ISNUMBER(FIND("-",TEXT(Z76,"@"))),LEFT(TEXT(Z76,"@"),FIND("-",TEXT(Z76,"@"))-1),TEXT(Z76,"@"))),"000000000000000"),{15,14,13,12,11,10,9,8,7,6,5,4,3,2,1},1)),{3,7,13,17,19,23,29,37,41,43,47,53,59,67,71}),11)=1,1,11-MOD(SUMPRODUCT(VALUE(MID(TEXT(VALUE(IF(ISNUMBER(FIND("-",TEXT(Z76,"@"))),LEFT(TEXT(Z76,"@"),FIND("-",TEXT(Z76,"@"))-1),TEXT(Z76,"@"))),"000000000000000"),{15,14,13,12,11,10,9,8,7,6,5,4,3,2,1},1)),{3,7,13,17,19,23,29,37,41,43,47,53,59,67,71}),11)))))</f>
        <v>4</v>
      </c>
      <c r="AB76" s="27">
        <v>84131500</v>
      </c>
      <c r="AC76" s="29" t="str">
        <f>[1]Contratos!Z76</f>
        <v>N/A</v>
      </c>
      <c r="AD76" s="30">
        <f t="shared" si="7"/>
        <v>143</v>
      </c>
      <c r="AE76" s="31" t="s">
        <v>46</v>
      </c>
      <c r="AF76" s="31" t="str" cm="1">
        <f t="array" ref="AF76">IF(AG76="","",IFERROR(_xlfn.LET(_xlpm.x,INDEX([1]RP!$Z$2:$Z$706,MATCH(AG76&amp;"",[1]RP!$A$2:$A$706&amp;"",0)),IF(_xlpm.x="","",_xlpm.x)),""))</f>
        <v>14426</v>
      </c>
      <c r="AG76" s="31" cm="1">
        <f t="array" ref="AG76">IF(A76="","",IFERROR(_xlfn.LET(_xlpm.rp,[1]RP!$A$2:$A$706,_xlpm.dt,IFERROR(DATE(--LEFT([1]RP!$B$2:$B$706,4),--MID([1]RP!$B$2:$B$706,6,2),--MID([1]RP!$B$2:$B$706,9,2)),0),_xlpm.qid,UPPER(SUBSTITUTE(SUBSTITUTE(SUBSTITUTE(SUBSTITUTE([1]RP!$Q$2:$Q$706,".",""),"-","")," ",""),"O","0")),_xlpm.eid,UPPER(SUBSTITUTE(SUBSTITUTE(SUBSTITUTE(SUBSTITUTE(Z76,".",""),"-","")," ",""),"O","0")),_xlpm.qnm,UPPER(SUBSTITUTE(SUBSTITUTE(SUBSTITUTE(SUBSTITUTE(SUBSTITUTE([1]RP!$R$2:$R$706,".",""),"-","")," ",""),"Á","A"),"É","E")),_xlpm.enm,UPPER(SUBSTITUTE(SUBSTITUTE(SUBSTITUTE(SUBSTITUTE(SUBSTITUTE(B76,".",""),"-",""),"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76,"CONTRATO ")," DE")&amp;"/2026",_xlpm.dm,--ISNUMBER(SEARCH(_xlpm.num,_xlpm.sup)),_xlpm.dif,IF(_xlpm.ok,(1-_xlpm.dm)*1000000+IF(AND(ISNUMBER(M76),M76&gt;0),ABS(_xlpm.dt-M76),0),1E+99),_xlpm.md,MIN(_xlpm.dif),INDEX(_xlfn._xlws.FILTER(_xlpm.rp,(_xlpm.ok&gt;0)*(_xlpm.dif=_xlpm.md)),1)),""))</f>
        <v>24226</v>
      </c>
      <c r="AH76" s="32" cm="1">
        <f t="array" ref="AH76">IF(AF76="","",IFERROR(_xlfn.LET(_xlpm.x,INDEX([1]CDP!$B$2:$B$322,MATCH(AF76&amp;"",[1]CDP!$A$2:$A$322&amp;"",0)),IF(ISNUMBER(_xlpm.x),_xlpm.x,DATE(--LEFT(_xlpm.x,4),--MID(_xlpm.x,6,2),--MID(_xlpm.x,9,2)))),""))</f>
        <v>46182</v>
      </c>
    </row>
    <row r="77" spans="1:34" ht="61.5" customHeight="1" x14ac:dyDescent="0.35">
      <c r="A77" s="1" t="str">
        <f>[1]Contratos!A77</f>
        <v>CONTRATO 76 DE 2026</v>
      </c>
      <c r="B77" s="10" t="str">
        <f>[1]Contratos!B77</f>
        <v>FREDDY RODRIGUEZ</v>
      </c>
      <c r="C77" s="10" t="str">
        <f>[1]Contratos!E77</f>
        <v>Prestación de servicios profesionales o Apoyo a la gestión</v>
      </c>
      <c r="D77" s="10" t="s">
        <v>136</v>
      </c>
      <c r="E77" s="11" t="str">
        <f>[1]Contratos!F77</f>
        <v>Prestar los servicios profesionales como Ingeniero Senior especializado para apoyar la CRC en la migración de contenidos y la actualización de versión de Drupal para la sede electrónica (página web) de la entidad, alineado con las políticas vigentes de gobierno digital</v>
      </c>
      <c r="F77" s="12">
        <v>87518688</v>
      </c>
      <c r="G77" s="13">
        <f>[1]Contratos!G77</f>
        <v>87518688</v>
      </c>
      <c r="H77" s="14" t="str">
        <f>IFERROR(VLOOKUP(A77, [1]Otrosí!A:F, 6, FALSE), "0")</f>
        <v>0</v>
      </c>
      <c r="I77" s="13">
        <f t="shared" si="4"/>
        <v>87518688</v>
      </c>
      <c r="J77" s="15">
        <f>IFERROR(_xlfn.LET(_xlpm.x,_xlfn.LET(_xlpm.n,--_xlfn.TEXTBEFORE(_xlfn.TEXTAFTER(A77,"CONTRATO ")," DE"),_xlpm.c,"CONTRATO "&amp;TEXT(_xlpm.n,"00")&amp;" DE 2026",_xlpm.h,'[1]SECOP II'!$A$1:$CQ$1,_xlpm.d,'[1]SECOP II'!$A$2:$CQ$94,_xlpm.r,INDEX(_xlpm.d,0,MATCH("Referencia del Contrato",_xlpm.h,0)),INDEX(_xlpm.d,MATCH(_xlpm.c,_xlpm.r,0),MATCH("Valor Pagado",_xlpm.h,0))),_xlfn.NUMBERVALUE(SUBSTITUTE(_xlpm.x,"$",""),".",",")),"")</f>
        <v>24796961</v>
      </c>
      <c r="K77" s="16">
        <f t="shared" si="5"/>
        <v>62721727</v>
      </c>
      <c r="L77" s="17">
        <f t="shared" si="6"/>
        <v>0.28333332647765469</v>
      </c>
      <c r="M77" s="18">
        <f>[1]Contratos!O77</f>
        <v>46211</v>
      </c>
      <c r="N77" s="18">
        <f>[1]Contratos!P77</f>
        <v>46213</v>
      </c>
      <c r="O77" s="18">
        <f>[1]Contratos!Q77</f>
        <v>46387</v>
      </c>
      <c r="P77" s="18" t="str">
        <f>IFERROR(VLOOKUP(A77, [1]Otrosí!A:L, 7, FALSE), "N/A")</f>
        <v>N/A</v>
      </c>
      <c r="Q77" s="19" t="str">
        <f>IFERROR(_xlfn.LET(_xlpm.h,'[1]SECOP II'!$A$1:$CQ$1,_xlpm.d,'[1]SECOP II'!$A$2:$CQ$94,_xlpm.r,INDEX(_xlpm.d,0,MATCH("Referencia del Contrato",_xlpm.h,0)),INDEX(_xlpm.d,MATCH("CONTRATO 76 DE 2026",_xlpm.r,0),MATCH("Tipo de Contrato",_xlpm.h,0))),"")</f>
        <v>Prestación de servicios</v>
      </c>
      <c r="R77" s="20" t="str">
        <f>IFERROR(_xlfn.LET(_xlpm.n,--_xlfn.TEXTBEFORE(_xlfn.TEXTAFTER(A77,"CONTRATO ")," DE"),_xlpm.c,"CONTRATO "&amp;TEXT(_xlpm.n,"00")&amp;" DE 2026",_xlpm.h,'[1]SECOP II'!$A$1:$CQ$1,_xlpm.d,'[1]SECOP II'!$A$2:$CQ$94,_xlpm.r,INDEX(_xlpm.d,0,MATCH("Referencia del Contrato",_xlpm.h,0)),INDEX(_xlpm.d,MATCH(_xlpm.c,_xlpm.r,0),MATCH("Destino Gasto",_xlpm.h,0))),"")</f>
        <v>Inversión</v>
      </c>
      <c r="S77" s="34" t="str">
        <f>IFERROR(_xlfn.LET(_xlpm.n,--_xlfn.TEXTBEFORE(_xlfn.TEXTAFTER(A77,"CONTRATO ")," DE"),_xlpm.c,"CONTRATO "&amp;TEXT(_xlpm.n,"00")&amp;" DE 2026",_xlpm.h,'[1]SECOP II'!$A$1:$CQ$1,_xlpm.d,'[1]SECOP II'!$A$2:$CQ$94,_xlpm.r,INDEX(_xlpm.d,0,MATCH("Referencia del Contrato",_xlpm.h,0)),INDEX(_xlpm.d,MATCH(_xlpm.c,_xlpm.r,0),MATCH("URLProceso",_xlpm.h,0))),"")</f>
        <v>https://community.secop.gov.co/Public/Tendering/OpportunityDetail/Index?noticeUID=CO1.NTC.10449514&amp;isFromPublicArea=True&amp;isModal=true&amp;asPopupView=true</v>
      </c>
      <c r="T77" s="22" t="str">
        <f>IFERROR(_xlfn.LET(_xlpm.h,'[1]SECOP II'!$A$1:$CQ$1,_xlpm.d,'[1]SECOP II'!$A$2:$CQ$94,_xlpm.r,INDEX(_xlpm.d,0,MATCH("Referencia del Contrato",_xlpm.h,0)),INDEX(_xlpm.d,MATCH("CONTRATO 76 DE 2026",_xlpm.r,0),MATCH("Estado Contrato",_xlpm.h,0))),"")</f>
        <v>En ejecución</v>
      </c>
      <c r="U77" s="10" t="str">
        <f>[1]Contratos!C77</f>
        <v>PN</v>
      </c>
      <c r="V77" s="10" t="str">
        <f>[1]Contratos!I77</f>
        <v>RELACIONES CON GRUPOS DE VALOR / TECNOLOGÍAS Y SIST. DE INF.</v>
      </c>
      <c r="W77" s="23" t="str">
        <f>[1]Contratos!J77</f>
        <v>WILVER DELGADO</v>
      </c>
      <c r="X77" s="24" cm="1">
        <f t="array" ref="X77">IFERROR(VLOOKUP(W77,[1]COORD!$A$27:$B$67, 2, FALSE),[1]COORD!$B$27:$B$67)</f>
        <v>13747812</v>
      </c>
      <c r="Y77" s="25" t="s">
        <v>35</v>
      </c>
      <c r="Z77" s="26">
        <v>80756133</v>
      </c>
      <c r="AA77" s="27" t="s">
        <v>36</v>
      </c>
      <c r="AB77" s="27">
        <v>81111504</v>
      </c>
      <c r="AC77" s="29" t="str">
        <f>[1]Contratos!Z77</f>
        <v>NO</v>
      </c>
      <c r="AD77" s="30">
        <f t="shared" si="7"/>
        <v>176</v>
      </c>
      <c r="AE77" s="31" t="s">
        <v>58</v>
      </c>
      <c r="AF77" s="31" t="str" cm="1">
        <f t="array" ref="AF77">IF(AG77="","",IFERROR(_xlfn.LET(_xlpm.x,INDEX([1]RP!$Z$2:$Z$706,MATCH(AG77&amp;"",[1]RP!$A$2:$A$706&amp;"",0)),IF(_xlpm.x="","",_xlpm.x)),""))</f>
        <v>15526</v>
      </c>
      <c r="AG77" s="31" cm="1">
        <f t="array" ref="AG77">IF(A77="","",IFERROR(_xlfn.LET(_xlpm.rp,[1]RP!$A$2:$A$706,_xlpm.dt,IFERROR(DATE(--LEFT([1]RP!$B$2:$B$706,4),--MID([1]RP!$B$2:$B$706,6,2),--MID([1]RP!$B$2:$B$706,9,2)),0),_xlpm.qid,UPPER(SUBSTITUTE(SUBSTITUTE(SUBSTITUTE(SUBSTITUTE([1]RP!$Q$2:$Q$706,".",""),"-","")," ",""),"O","0")),_xlpm.eid,UPPER(SUBSTITUTE(SUBSTITUTE(SUBSTITUTE(SUBSTITUTE(Z77,".",""),"-","")," ",""),"O","0")),_xlpm.qnm,UPPER(SUBSTITUTE(SUBSTITUTE(SUBSTITUTE(SUBSTITUTE(SUBSTITUTE([1]RP!$R$2:$R$706,".",""),"-","")," ",""),"Á","A"),"É","E")),_xlpm.enm,UPPER(SUBSTITUTE(SUBSTITUTE(SUBSTITUTE(SUBSTITUTE(SUBSTITUTE(B77,".",""),"-",""),"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77,"CONTRATO ")," DE")&amp;"/2026",_xlpm.dm,--ISNUMBER(SEARCH(_xlpm.num,_xlpm.sup)),_xlpm.dif,IF(_xlpm.ok,(1-_xlpm.dm)*1000000+IF(AND(ISNUMBER(M77),M77&gt;0),ABS(_xlpm.dt-M77),0),1E+99),_xlpm.md,MIN(_xlpm.dif),INDEX(_xlfn._xlws.FILTER(_xlpm.rp,(_xlpm.ok&gt;0)*(_xlpm.dif=_xlpm.md)),1)),""))</f>
        <v>25826</v>
      </c>
      <c r="AH77" s="32" cm="1">
        <f t="array" ref="AH77">IF(AF77="","",IFERROR(_xlfn.LET(_xlpm.x,INDEX([1]CDP!$B$2:$B$322,MATCH(AF77&amp;"",[1]CDP!$A$2:$A$322&amp;"",0)),IF(ISNUMBER(_xlpm.x),_xlpm.x,DATE(--LEFT(_xlpm.x,4),--MID(_xlpm.x,6,2),--MID(_xlpm.x,9,2)))),""))</f>
        <v>46199</v>
      </c>
    </row>
    <row r="78" spans="1:34" ht="61.5" customHeight="1" x14ac:dyDescent="0.35">
      <c r="A78" s="1" t="str">
        <f>[1]Contratos!A78</f>
        <v>CONTRATO 77 DE 2026</v>
      </c>
      <c r="B78" s="10" t="str">
        <f>[1]Contratos!B78</f>
        <v>MUNDIAL SEGUROS</v>
      </c>
      <c r="C78" s="10" t="str">
        <f>[1]Contratos!E78</f>
        <v>Selección Abreviada de Menor Cuantía</v>
      </c>
      <c r="D78" s="10" t="s">
        <v>137</v>
      </c>
      <c r="E78" s="11" t="str">
        <f>[1]Contratos!F78</f>
        <v>Contratar la póliza de Responsabilidad Civil de Datos - CYBER, de la Comisión de Regulación de Comunicaciones (CRC).</v>
      </c>
      <c r="F78" s="12">
        <v>187726231</v>
      </c>
      <c r="G78" s="13">
        <f>[1]Contratos!G78</f>
        <v>187726231</v>
      </c>
      <c r="H78" s="14" t="str">
        <f>IFERROR(VLOOKUP(A78, [1]Otrosí!A:F, 6, FALSE), "0")</f>
        <v>0</v>
      </c>
      <c r="I78" s="13">
        <f t="shared" si="4"/>
        <v>187726231</v>
      </c>
      <c r="J78" s="15">
        <f>IFERROR(_xlfn.LET(_xlpm.x,_xlfn.LET(_xlpm.n,--_xlfn.TEXTBEFORE(_xlfn.TEXTAFTER(A78,"CONTRATO ")," DE"),_xlpm.c,"CONTRATO "&amp;TEXT(_xlpm.n,"00")&amp;" DE 2026",_xlpm.h,'[1]SECOP II'!$A$1:$CQ$1,_xlpm.d,'[1]SECOP II'!$A$2:$CQ$94,_xlpm.r,INDEX(_xlpm.d,0,MATCH("Referencia del Contrato",_xlpm.h,0)),INDEX(_xlpm.d,MATCH(_xlpm.c,_xlpm.r,0),MATCH("Valor Pagado",_xlpm.h,0))),_xlfn.NUMBERVALUE(SUBSTITUTE(_xlpm.x,"$",""),".",",")),"")</f>
        <v>187726230.65000001</v>
      </c>
      <c r="K78" s="16">
        <f t="shared" si="5"/>
        <v>0.34999999403953552</v>
      </c>
      <c r="L78" s="17">
        <f t="shared" si="6"/>
        <v>0.99999999813558293</v>
      </c>
      <c r="M78" s="18">
        <f>[1]Contratos!O78</f>
        <v>46212</v>
      </c>
      <c r="N78" s="18">
        <f>[1]Contratos!P78</f>
        <v>46241</v>
      </c>
      <c r="O78" s="18">
        <f>[1]Contratos!Q78</f>
        <v>46875</v>
      </c>
      <c r="P78" s="18" t="str">
        <f>IFERROR(VLOOKUP(A78, [1]Otrosí!A:L, 7, FALSE), "N/A")</f>
        <v>N/A</v>
      </c>
      <c r="Q78" s="19" t="str">
        <f>IFERROR(_xlfn.LET(_xlpm.h,'[1]SECOP II'!$A$1:$CQ$1,_xlpm.d,'[1]SECOP II'!$A$2:$CQ$94,_xlpm.r,INDEX(_xlpm.d,0,MATCH("Referencia del Contrato",_xlpm.h,0)),INDEX(_xlpm.d,MATCH("CONTRATO 77 DE 2026",_xlpm.r,0),MATCH("Tipo de Contrato",_xlpm.h,0))),"")</f>
        <v>Seguros</v>
      </c>
      <c r="R78" s="20" t="str">
        <f>IFERROR(_xlfn.LET(_xlpm.n,--_xlfn.TEXTBEFORE(_xlfn.TEXTAFTER(A78,"CONTRATO ")," DE"),_xlpm.c,"CONTRATO "&amp;TEXT(_xlpm.n,"00")&amp;" DE 2026",_xlpm.h,'[1]SECOP II'!$A$1:$CQ$1,_xlpm.d,'[1]SECOP II'!$A$2:$CQ$94,_xlpm.r,INDEX(_xlpm.d,0,MATCH("Referencia del Contrato",_xlpm.h,0)),INDEX(_xlpm.d,MATCH(_xlpm.c,_xlpm.r,0),MATCH("Destino Gasto",_xlpm.h,0))),"")</f>
        <v>Funcionamiento</v>
      </c>
      <c r="S78" s="34" t="str">
        <f>IFERROR(_xlfn.LET(_xlpm.n,--_xlfn.TEXTBEFORE(_xlfn.TEXTAFTER(A78,"CONTRATO ")," DE"),_xlpm.c,"CONTRATO "&amp;TEXT(_xlpm.n,"00")&amp;" DE 2026",_xlpm.h,'[1]SECOP II'!$A$1:$CQ$1,_xlpm.d,'[1]SECOP II'!$A$2:$CQ$94,_xlpm.r,INDEX(_xlpm.d,0,MATCH("Referencia del Contrato",_xlpm.h,0)),INDEX(_xlpm.d,MATCH(_xlpm.c,_xlpm.r,0),MATCH("URLProceso",_xlpm.h,0))),"")</f>
        <v>https://community.secop.gov.co/Public/Tendering/OpportunityDetail/Index?noticeUID=CO1.NTC.10353282&amp;isFromPublicArea=True&amp;isModal=true&amp;asPopupView=true</v>
      </c>
      <c r="T78" s="22" t="str">
        <f>IFERROR(_xlfn.LET(_xlpm.h,'[1]SECOP II'!$A$1:$CQ$1,_xlpm.d,'[1]SECOP II'!$A$2:$CQ$94,_xlpm.r,INDEX(_xlpm.d,0,MATCH("Referencia del Contrato",_xlpm.h,0)),INDEX(_xlpm.d,MATCH("CONTRATO 77 DE 2026",_xlpm.r,0),MATCH("Estado Contrato",_xlpm.h,0))),"")</f>
        <v>En ejecución</v>
      </c>
      <c r="U78" s="10" t="str">
        <f>[1]Contratos!C78</f>
        <v>PJ</v>
      </c>
      <c r="V78" s="10" t="str">
        <f>[1]Contratos!I78</f>
        <v>TECNOLOGÍAS Y SIST. DE INF. / GESTIÓN ADM. Y FIN.</v>
      </c>
      <c r="W78" s="23" t="str">
        <f>[1]Contratos!J78</f>
        <v>DIANA WILCHES / INGRID PICÓN</v>
      </c>
      <c r="X78" s="24" t="str" cm="1">
        <f t="array" ref="X78">IFERROR(VLOOKUP(W78,[1]COORD!$A$27:$B$67, 2, FALSE),[1]COORD!$B$27:$B$67)</f>
        <v>40049758 / 60372503</v>
      </c>
      <c r="Y78" s="25" t="s">
        <v>57</v>
      </c>
      <c r="Z78" s="26">
        <v>860037013</v>
      </c>
      <c r="AA78" s="27" cm="1">
        <f t="array" ref="AA78">IF(OR(Z78="",Z78="N/A"),"N/A",IF(ISERROR(VALUE(IF(ISNUMBER(FIND("-",TEXT(Z78,"@"))),LEFT(TEXT(Z78,"@"),FIND("-",TEXT(Z78,"@"))-1),TEXT(Z78,"@")))),"N/A",IF(MOD(SUMPRODUCT(VALUE(MID(TEXT(VALUE(IF(ISNUMBER(FIND("-",TEXT(Z78,"@"))),LEFT(TEXT(Z78,"@"),FIND("-",TEXT(Z78,"@"))-1),TEXT(Z78,"@"))),"000000000000000"),{15,14,13,12,11,10,9,8,7,6,5,4,3,2,1},1)),{3,7,13,17,19,23,29,37,41,43,47,53,59,67,71}),11)=0,0,IF(MOD(SUMPRODUCT(VALUE(MID(TEXT(VALUE(IF(ISNUMBER(FIND("-",TEXT(Z78,"@"))),LEFT(TEXT(Z78,"@"),FIND("-",TEXT(Z78,"@"))-1),TEXT(Z78,"@"))),"000000000000000"),{15,14,13,12,11,10,9,8,7,6,5,4,3,2,1},1)),{3,7,13,17,19,23,29,37,41,43,47,53,59,67,71}),11)=1,1,11-MOD(SUMPRODUCT(VALUE(MID(TEXT(VALUE(IF(ISNUMBER(FIND("-",TEXT(Z78,"@"))),LEFT(TEXT(Z78,"@"),FIND("-",TEXT(Z78,"@"))-1),TEXT(Z78,"@"))),"000000000000000"),{15,14,13,12,11,10,9,8,7,6,5,4,3,2,1},1)),{3,7,13,17,19,23,29,37,41,43,47,53,59,67,71}),11)))))</f>
        <v>6</v>
      </c>
      <c r="AB78" s="27">
        <v>84131500</v>
      </c>
      <c r="AC78" s="29" t="str">
        <f>[1]Contratos!Z78</f>
        <v>N/A</v>
      </c>
      <c r="AD78" s="30">
        <f t="shared" si="7"/>
        <v>663</v>
      </c>
      <c r="AE78" s="31" t="s">
        <v>46</v>
      </c>
      <c r="AF78" s="31" t="str" cm="1">
        <f t="array" ref="AF78">IF(AG78="","",IFERROR(_xlfn.LET(_xlpm.x,INDEX([1]RP!$Z$2:$Z$706,MATCH(AG78&amp;"",[1]RP!$A$2:$A$706&amp;"",0)),IF(_xlpm.x="","",_xlpm.x)),""))</f>
        <v>13226</v>
      </c>
      <c r="AG78" s="31" cm="1">
        <f t="array" ref="AG78">IF(A78="","",IFERROR(_xlfn.LET(_xlpm.rp,[1]RP!$A$2:$A$706,_xlpm.dt,IFERROR(DATE(--LEFT([1]RP!$B$2:$B$706,4),--MID([1]RP!$B$2:$B$706,6,2),--MID([1]RP!$B$2:$B$706,9,2)),0),_xlpm.qid,UPPER(SUBSTITUTE(SUBSTITUTE(SUBSTITUTE(SUBSTITUTE([1]RP!$Q$2:$Q$706,".",""),"-","")," ",""),"O","0")),_xlpm.eid,UPPER(SUBSTITUTE(SUBSTITUTE(SUBSTITUTE(SUBSTITUTE(Z78,".",""),"-","")," ",""),"O","0")),_xlpm.qnm,UPPER(SUBSTITUTE(SUBSTITUTE(SUBSTITUTE(SUBSTITUTE(SUBSTITUTE([1]RP!$R$2:$R$706,".",""),"-","")," ",""),"Á","A"),"É","E")),_xlpm.enm,UPPER(SUBSTITUTE(SUBSTITUTE(SUBSTITUTE(SUBSTITUTE(SUBSTITUTE(B78,".",""),"-",""),"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78,"CONTRATO ")," DE")&amp;"/2026",_xlpm.dm,--ISNUMBER(SEARCH(_xlpm.num,_xlpm.sup)),_xlpm.dif,IF(_xlpm.ok,(1-_xlpm.dm)*1000000+IF(AND(ISNUMBER(M78),M78&gt;0),ABS(_xlpm.dt-M78),0),1E+99),_xlpm.md,MIN(_xlpm.dif),INDEX(_xlfn._xlws.FILTER(_xlpm.rp,(_xlpm.ok&gt;0)*(_xlpm.dif=_xlpm.md)),1)),""))</f>
        <v>26026</v>
      </c>
      <c r="AH78" s="32" cm="1">
        <f t="array" ref="AH78">IF(AF78="","",IFERROR(_xlfn.LET(_xlpm.x,INDEX([1]CDP!$B$2:$B$322,MATCH(AF78&amp;"",[1]CDP!$A$2:$A$322&amp;"",0)),IF(ISNUMBER(_xlpm.x),_xlpm.x,DATE(--LEFT(_xlpm.x,4),--MID(_xlpm.x,6,2),--MID(_xlpm.x,9,2)))),""))</f>
        <v>46156</v>
      </c>
    </row>
    <row r="79" spans="1:34" ht="61.5" customHeight="1" x14ac:dyDescent="0.35">
      <c r="A79" s="1" t="str">
        <f>[1]Contratos!A79</f>
        <v>CONTRATO 78 DE 2026 - OC 166465</v>
      </c>
      <c r="B79" s="10" t="str">
        <f>[1]Contratos!B79</f>
        <v xml:space="preserve">COMCEL S.A </v>
      </c>
      <c r="C79" s="10" t="str">
        <f>[1]Contratos!E79</f>
        <v>AMP/IAD/CGS</v>
      </c>
      <c r="D79" s="10" t="s">
        <v>138</v>
      </c>
      <c r="E79" s="11" t="str">
        <f>[1]Contratos!F79</f>
        <v>Adquirir una suscripción Microsoft Azure CSP dedicada a la gestión de respaldos (backup) y recuperación ante desastres de los activos de información institucionales desplegados en la nube de la Comisión de Regulación de Comunicaciones, bajo un modelo de Servicios Gestionados (Managed Services), incluyendo la implementación, operación, monitoreo, soporte y administración continua de las políticas de respaldo mediante Azure Backup y Recovery Services Vault</v>
      </c>
      <c r="F79" s="12">
        <v>197939204</v>
      </c>
      <c r="G79" s="13">
        <f>[1]Contratos!G79</f>
        <v>189070594.40000001</v>
      </c>
      <c r="H79" s="14" t="str">
        <f>IFERROR(VLOOKUP(A79, [1]Otrosí!A:F, 6, FALSE), "0")</f>
        <v>0</v>
      </c>
      <c r="I79" s="13">
        <f t="shared" si="4"/>
        <v>189070594.40000001</v>
      </c>
      <c r="J79" s="38">
        <v>165193599</v>
      </c>
      <c r="K79" s="16">
        <f t="shared" si="5"/>
        <v>23876995.400000006</v>
      </c>
      <c r="L79" s="17">
        <f t="shared" si="6"/>
        <v>0.873713860816</v>
      </c>
      <c r="M79" s="18">
        <f>[1]Contratos!O79</f>
        <v>46206</v>
      </c>
      <c r="N79" s="18">
        <f>[1]Contratos!P79</f>
        <v>46206</v>
      </c>
      <c r="O79" s="18">
        <f>[1]Contratos!Q79</f>
        <v>46387</v>
      </c>
      <c r="P79" s="18" t="str">
        <f>IFERROR(VLOOKUP(A79, [1]Otrosí!A:L, 7, FALSE), "N/A")</f>
        <v>N/A</v>
      </c>
      <c r="Q79" s="39" t="s">
        <v>123</v>
      </c>
      <c r="R79" s="31"/>
      <c r="S79" s="40" t="s">
        <v>139</v>
      </c>
      <c r="T79" s="41" t="s">
        <v>125</v>
      </c>
      <c r="U79" s="10" t="str">
        <f>[1]Contratos!C79</f>
        <v>PJ</v>
      </c>
      <c r="V79" s="10" t="str">
        <f>[1]Contratos!I79</f>
        <v>TECNOLOGÍAS Y SIST. DE INF.</v>
      </c>
      <c r="W79" s="23" t="str">
        <f>[1]Contratos!J79</f>
        <v>EDWIN ALBERTO VARGAS</v>
      </c>
      <c r="X79" s="24" cm="1">
        <f t="array" ref="X79">IFERROR(VLOOKUP(W79,[1]COORD!$A$27:$B$67, 2, FALSE),[1]COORD!$B$27:$B$67)</f>
        <v>7173927</v>
      </c>
      <c r="Y79" s="25" t="s">
        <v>57</v>
      </c>
      <c r="Z79" s="26">
        <v>800153993</v>
      </c>
      <c r="AA79" s="27" cm="1">
        <f t="array" ref="AA79">IF(OR(Z79="",Z79="N/A"),"N/A",IF(ISERROR(VALUE(IF(ISNUMBER(FIND("-",TEXT(Z79,"@"))),LEFT(TEXT(Z79,"@"),FIND("-",TEXT(Z79,"@"))-1),TEXT(Z79,"@")))),"N/A",IF(MOD(SUMPRODUCT(VALUE(MID(TEXT(VALUE(IF(ISNUMBER(FIND("-",TEXT(Z79,"@"))),LEFT(TEXT(Z79,"@"),FIND("-",TEXT(Z79,"@"))-1),TEXT(Z79,"@"))),"000000000000000"),{15,14,13,12,11,10,9,8,7,6,5,4,3,2,1},1)),{3,7,13,17,19,23,29,37,41,43,47,53,59,67,71}),11)=0,0,IF(MOD(SUMPRODUCT(VALUE(MID(TEXT(VALUE(IF(ISNUMBER(FIND("-",TEXT(Z79,"@"))),LEFT(TEXT(Z79,"@"),FIND("-",TEXT(Z79,"@"))-1),TEXT(Z79,"@"))),"000000000000000"),{15,14,13,12,11,10,9,8,7,6,5,4,3,2,1},1)),{3,7,13,17,19,23,29,37,41,43,47,53,59,67,71}),11)=1,1,11-MOD(SUMPRODUCT(VALUE(MID(TEXT(VALUE(IF(ISNUMBER(FIND("-",TEXT(Z79,"@"))),LEFT(TEXT(Z79,"@"),FIND("-",TEXT(Z79,"@"))-1),TEXT(Z79,"@"))),"000000000000000"),{15,14,13,12,11,10,9,8,7,6,5,4,3,2,1},1)),{3,7,13,17,19,23,29,37,41,43,47,53,59,67,71}),11)))))</f>
        <v>7</v>
      </c>
      <c r="AB79" s="27">
        <v>81112101</v>
      </c>
      <c r="AC79" s="29" t="str">
        <f>[1]Contratos!Z79</f>
        <v>N/A</v>
      </c>
      <c r="AD79" s="30">
        <f t="shared" si="7"/>
        <v>181</v>
      </c>
      <c r="AE79" s="31" t="s">
        <v>58</v>
      </c>
      <c r="AF79" s="31" t="str" cm="1">
        <f t="array" ref="AF79">IF(AG79="","",IFERROR(_xlfn.LET(_xlpm.x,INDEX([1]RP!$Z$2:$Z$706,MATCH(AG79&amp;"",[1]RP!$A$2:$A$706&amp;"",0)),IF(_xlpm.x="","",_xlpm.x)),""))</f>
        <v>14026</v>
      </c>
      <c r="AG79" s="31" cm="1">
        <f t="array" ref="AG79">IF(A79="","",IFERROR(_xlfn.LET(_xlpm.rp,[1]RP!$A$2:$A$706,_xlpm.dt,IFERROR(DATE(--LEFT([1]RP!$B$2:$B$706,4),--MID([1]RP!$B$2:$B$706,6,2),--MID([1]RP!$B$2:$B$706,9,2)),0),_xlpm.qid,UPPER(SUBSTITUTE(SUBSTITUTE(SUBSTITUTE(SUBSTITUTE([1]RP!$Q$2:$Q$706,".",""),"-","")," ",""),"O","0")),_xlpm.eid,UPPER(SUBSTITUTE(SUBSTITUTE(SUBSTITUTE(SUBSTITUTE(Z79,".",""),"-","")," ",""),"O","0")),_xlpm.qnm,UPPER(SUBSTITUTE(SUBSTITUTE(SUBSTITUTE(SUBSTITUTE(SUBSTITUTE([1]RP!$R$2:$R$706,".",""),"-","")," ",""),"Á","A"),"É","E")),_xlpm.enm,UPPER(SUBSTITUTE(SUBSTITUTE(SUBSTITUTE(SUBSTITUTE(SUBSTITUTE(B79,".",""),"-",""),"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79,"CONTRATO ")," DE")&amp;"/2026",_xlpm.dm,--ISNUMBER(SEARCH(_xlpm.num,_xlpm.sup)),_xlpm.dif,IF(_xlpm.ok,(1-_xlpm.dm)*1000000+IF(AND(ISNUMBER(M79),M79&gt;0),ABS(_xlpm.dt-M79),0),1E+99),_xlpm.md,MIN(_xlpm.dif),INDEX(_xlfn._xlws.FILTER(_xlpm.rp,(_xlpm.ok&gt;0)*(_xlpm.dif=_xlpm.md)),1)),""))</f>
        <v>25326</v>
      </c>
      <c r="AH79" s="32" cm="1">
        <f t="array" ref="AH79">IF(AF79="","",IFERROR(_xlfn.LET(_xlpm.x,INDEX([1]CDP!$B$2:$B$322,MATCH(AF79&amp;"",[1]CDP!$A$2:$A$322&amp;"",0)),IF(ISNUMBER(_xlpm.x),_xlpm.x,DATE(--LEFT(_xlpm.x,4),--MID(_xlpm.x,6,2),--MID(_xlpm.x,9,2)))),""))</f>
        <v>46170</v>
      </c>
    </row>
    <row r="80" spans="1:34" ht="61.5" customHeight="1" x14ac:dyDescent="0.35">
      <c r="A80" s="1" t="str">
        <f>[1]Contratos!A80</f>
        <v>CONTRATO 79 DE 2026</v>
      </c>
      <c r="B80" s="10" t="str">
        <f>[1]Contratos!B80</f>
        <v>BRANDSTRAT BIC S.A.S</v>
      </c>
      <c r="C80" s="10" t="str">
        <f>[1]Contratos!E80</f>
        <v>Concurso de méritos</v>
      </c>
      <c r="D80" s="10" t="s">
        <v>140</v>
      </c>
      <c r="E80" s="11" t="str">
        <f>[1]Contratos!F80</f>
        <v xml:space="preserve">Prestación de servicios de consultoría para desarrollar un estudio que permita identificar, analizar y caracterizar los mecanismos de protección de niños, niñas y adolescentes (NNA) implementados en plataformas audiovisuales y servicios digitales. </v>
      </c>
      <c r="F80" s="12">
        <v>273424500</v>
      </c>
      <c r="G80" s="13">
        <f>[1]Contratos!G80</f>
        <v>273424500</v>
      </c>
      <c r="H80" s="14" t="str">
        <f>IFERROR(VLOOKUP(A80, [1]Otrosí!A:F, 6, FALSE), "0")</f>
        <v>0</v>
      </c>
      <c r="I80" s="13">
        <f t="shared" si="4"/>
        <v>273424500</v>
      </c>
      <c r="J80" s="15">
        <f>IFERROR(_xlfn.LET(_xlpm.x,_xlfn.LET(_xlpm.n,--_xlfn.TEXTBEFORE(_xlfn.TEXTAFTER(A80,"CONTRATO ")," DE"),_xlpm.c,"CONTRATO "&amp;TEXT(_xlpm.n,"00")&amp;" DE 2026",_xlpm.h,'[1]SECOP II'!$A$1:$CQ$1,_xlpm.d,'[1]SECOP II'!$A$2:$CQ$94,_xlpm.r,INDEX(_xlpm.d,0,MATCH("Referencia del Contrato",_xlpm.h,0)),INDEX(_xlpm.d,MATCH(_xlpm.c,_xlpm.r,0),MATCH("Valor Pagado",_xlpm.h,0))),_xlfn.NUMBERVALUE(SUBSTITUTE(_xlpm.x,"$",""),".",",")),"")</f>
        <v>27342450</v>
      </c>
      <c r="K80" s="16">
        <f t="shared" si="5"/>
        <v>246082050</v>
      </c>
      <c r="L80" s="17">
        <f t="shared" si="6"/>
        <v>0.1</v>
      </c>
      <c r="M80" s="18">
        <f>[1]Contratos!O80</f>
        <v>46231</v>
      </c>
      <c r="N80" s="18">
        <f>[1]Contratos!P80</f>
        <v>46238</v>
      </c>
      <c r="O80" s="18">
        <f>[1]Contratos!Q80</f>
        <v>46359</v>
      </c>
      <c r="P80" s="18" t="str">
        <f>IFERROR(VLOOKUP(A80, [1]Otrosí!A:L, 7, FALSE), "N/A")</f>
        <v>N/A</v>
      </c>
      <c r="Q80" s="19" t="str">
        <f>IFERROR(_xlfn.LET(_xlpm.h,'[1]SECOP II'!$A$1:$CQ$1,_xlpm.d,'[1]SECOP II'!$A$2:$CQ$94,_xlpm.r,INDEX(_xlpm.d,0,MATCH("Referencia del Contrato",_xlpm.h,0)),INDEX(_xlpm.d,MATCH("CONTRATO 79 DE 2026",_xlpm.r,0),MATCH("Tipo de Contrato",_xlpm.h,0))),"")</f>
        <v>Consultoría</v>
      </c>
      <c r="R80" s="20" t="str">
        <f>IFERROR(_xlfn.LET(_xlpm.n,--_xlfn.TEXTBEFORE(_xlfn.TEXTAFTER(A80,"CONTRATO ")," DE"),_xlpm.c,"CONTRATO "&amp;TEXT(_xlpm.n,"00")&amp;" DE 2026",_xlpm.h,'[1]SECOP II'!$A$1:$CQ$1,_xlpm.d,'[1]SECOP II'!$A$2:$CQ$94,_xlpm.r,INDEX(_xlpm.d,0,MATCH("Referencia del Contrato",_xlpm.h,0)),INDEX(_xlpm.d,MATCH(_xlpm.c,_xlpm.r,0),MATCH("Destino Gasto",_xlpm.h,0))),"")</f>
        <v>Inversión</v>
      </c>
      <c r="S80" s="34" t="str">
        <f>IFERROR(_xlfn.LET(_xlpm.n,--_xlfn.TEXTBEFORE(_xlfn.TEXTAFTER(A80,"CONTRATO ")," DE"),_xlpm.c,"CONTRATO "&amp;TEXT(_xlpm.n,"00")&amp;" DE 2026",_xlpm.h,'[1]SECOP II'!$A$1:$CQ$1,_xlpm.d,'[1]SECOP II'!$A$2:$CQ$94,_xlpm.r,INDEX(_xlpm.d,0,MATCH("Referencia del Contrato",_xlpm.h,0)),INDEX(_xlpm.d,MATCH(_xlpm.c,_xlpm.r,0),MATCH("URLProceso",_xlpm.h,0))),"")</f>
        <v>https://community.secop.gov.co/Public/Tendering/OpportunityDetail/Index?noticeUID=CO1.NTC.10429509&amp;isFromPublicArea=True&amp;isModal=true&amp;asPopupView=true</v>
      </c>
      <c r="T80" s="22" t="str">
        <f>IFERROR(_xlfn.LET(_xlpm.h,'[1]SECOP II'!$A$1:$CQ$1,_xlpm.d,'[1]SECOP II'!$A$2:$CQ$94,_xlpm.r,INDEX(_xlpm.d,0,MATCH("Referencia del Contrato",_xlpm.h,0)),INDEX(_xlpm.d,MATCH("CONTRATO 79 DE 2026",_xlpm.r,0),MATCH("Estado Contrato",_xlpm.h,0))),"")</f>
        <v>En ejecución</v>
      </c>
      <c r="U80" s="10" t="str">
        <f>[1]Contratos!C80</f>
        <v>PJ</v>
      </c>
      <c r="V80" s="10" t="str">
        <f>[1]Contratos!I80</f>
        <v>DISEÑO REGULATORIO / IMPLEMENTACIÓN REGULATORIA</v>
      </c>
      <c r="W80" s="23" t="str">
        <f>[1]Contratos!J80</f>
        <v>VICTOR BALDRICH / RICARDO RAMÍREZ</v>
      </c>
      <c r="X80" s="24" t="str" cm="1">
        <f t="array" ref="X80">IFERROR(VLOOKUP(W80,[1]COORD!$A$27:$B$67, 2, FALSE),[1]COORD!$B$27:$B$67)</f>
        <v>1019105701 / 79444533</v>
      </c>
      <c r="Y80" s="25" t="s">
        <v>57</v>
      </c>
      <c r="Z80" s="26">
        <v>830100700</v>
      </c>
      <c r="AA80" s="27" cm="1">
        <f t="array" ref="AA80">IF(OR(Z80="",Z80="N/A"),"N/A",IF(ISERROR(VALUE(IF(ISNUMBER(FIND("-",TEXT(Z80,"@"))),LEFT(TEXT(Z80,"@"),FIND("-",TEXT(Z80,"@"))-1),TEXT(Z80,"@")))),"N/A",IF(MOD(SUMPRODUCT(VALUE(MID(TEXT(VALUE(IF(ISNUMBER(FIND("-",TEXT(Z80,"@"))),LEFT(TEXT(Z80,"@"),FIND("-",TEXT(Z80,"@"))-1),TEXT(Z80,"@"))),"000000000000000"),{15,14,13,12,11,10,9,8,7,6,5,4,3,2,1},1)),{3,7,13,17,19,23,29,37,41,43,47,53,59,67,71}),11)=0,0,IF(MOD(SUMPRODUCT(VALUE(MID(TEXT(VALUE(IF(ISNUMBER(FIND("-",TEXT(Z80,"@"))),LEFT(TEXT(Z80,"@"),FIND("-",TEXT(Z80,"@"))-1),TEXT(Z80,"@"))),"000000000000000"),{15,14,13,12,11,10,9,8,7,6,5,4,3,2,1},1)),{3,7,13,17,19,23,29,37,41,43,47,53,59,67,71}),11)=1,1,11-MOD(SUMPRODUCT(VALUE(MID(TEXT(VALUE(IF(ISNUMBER(FIND("-",TEXT(Z80,"@"))),LEFT(TEXT(Z80,"@"),FIND("-",TEXT(Z80,"@"))-1),TEXT(Z80,"@"))),"000000000000000"),{15,14,13,12,11,10,9,8,7,6,5,4,3,2,1},1)),{3,7,13,17,19,23,29,37,41,43,47,53,59,67,71}),11)))))</f>
        <v>8</v>
      </c>
      <c r="AB80" s="27">
        <v>80101505</v>
      </c>
      <c r="AC80" s="29" t="str">
        <f>[1]Contratos!Z80</f>
        <v>NO</v>
      </c>
      <c r="AD80" s="30">
        <f t="shared" si="7"/>
        <v>128</v>
      </c>
      <c r="AE80" s="31" t="s">
        <v>46</v>
      </c>
      <c r="AF80" s="31" t="str" cm="1">
        <f t="array" ref="AF80">IF(AG80="","",IFERROR(_xlfn.LET(_xlpm.x,INDEX([1]RP!$Z$2:$Z$706,MATCH(AG80&amp;"",[1]RP!$A$2:$A$706&amp;"",0)),IF(_xlpm.x="","",_xlpm.x)),""))</f>
        <v>12126</v>
      </c>
      <c r="AG80" s="31" cm="1">
        <f t="array" ref="AG80">IF(A80="","",IFERROR(_xlfn.LET(_xlpm.rp,[1]RP!$A$2:$A$706,_xlpm.dt,IFERROR(DATE(--LEFT([1]RP!$B$2:$B$706,4),--MID([1]RP!$B$2:$B$706,6,2),--MID([1]RP!$B$2:$B$706,9,2)),0),_xlpm.qid,UPPER(SUBSTITUTE(SUBSTITUTE(SUBSTITUTE(SUBSTITUTE([1]RP!$Q$2:$Q$706,".",""),"-","")," ",""),"O","0")),_xlpm.eid,UPPER(SUBSTITUTE(SUBSTITUTE(SUBSTITUTE(SUBSTITUTE(Z80,".",""),"-","")," ",""),"O","0")),_xlpm.qnm,UPPER(SUBSTITUTE(SUBSTITUTE(SUBSTITUTE(SUBSTITUTE(SUBSTITUTE([1]RP!$R$2:$R$706,".",""),"-","")," ",""),"Á","A"),"É","E")),_xlpm.enm,UPPER(SUBSTITUTE(SUBSTITUTE(SUBSTITUTE(SUBSTITUTE(SUBSTITUTE(B80,".",""),"-",""),"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80,"CONTRATO ")," DE")&amp;"/2026",_xlpm.dm,--ISNUMBER(SEARCH(_xlpm.num,_xlpm.sup)),_xlpm.dif,IF(_xlpm.ok,(1-_xlpm.dm)*1000000+IF(AND(ISNUMBER(M80),M80&gt;0),ABS(_xlpm.dt-M80),0),1E+99),_xlpm.md,MIN(_xlpm.dif),INDEX(_xlfn._xlws.FILTER(_xlpm.rp,(_xlpm.ok&gt;0)*(_xlpm.dif=_xlpm.md)),1)),""))</f>
        <v>27126</v>
      </c>
      <c r="AH80" s="32" cm="1">
        <f t="array" ref="AH80">IF(AF80="","",IFERROR(_xlfn.LET(_xlpm.x,INDEX([1]CDP!$B$2:$B$322,MATCH(AF80&amp;"",[1]CDP!$A$2:$A$322&amp;"",0)),IF(ISNUMBER(_xlpm.x),_xlpm.x,DATE(--LEFT(_xlpm.x,4),--MID(_xlpm.x,6,2),--MID(_xlpm.x,9,2)))),""))</f>
        <v>46121</v>
      </c>
    </row>
    <row r="81" spans="1:34" ht="61.5" customHeight="1" x14ac:dyDescent="0.35">
      <c r="A81" s="1" t="str">
        <f>[1]Contratos!A81</f>
        <v>CONTRATO 80 DE 2026</v>
      </c>
      <c r="B81" s="10" t="str">
        <f>[1]Contratos!B81</f>
        <v>GIGA SAS</v>
      </c>
      <c r="C81" s="10" t="str">
        <f>[1]Contratos!E81</f>
        <v>Prestación de servicios profesionales o Apoyo a la gestión</v>
      </c>
      <c r="D81" s="10" t="s">
        <v>141</v>
      </c>
      <c r="E81" s="11" t="str">
        <f>[1]Contratos!F81</f>
        <v>Renovación de los servicios de soporte, mantenimiento y actualización del sistema de Gestión Documental ONBASE por un (1) año y adquisición de bolsa de horas para la Comisión de Regulación de Comunicaciones</v>
      </c>
      <c r="F81" s="42">
        <f>[1]Procesos!F91</f>
        <v>333764531.69999999</v>
      </c>
      <c r="G81" s="13">
        <f>[1]Contratos!G81</f>
        <v>333764531.69999999</v>
      </c>
      <c r="H81" s="14" t="str">
        <f>IFERROR(VLOOKUP(A81, [1]Otrosí!A:F, 6, FALSE), "0")</f>
        <v>0</v>
      </c>
      <c r="I81" s="13">
        <f t="shared" si="4"/>
        <v>333764531.69999999</v>
      </c>
      <c r="J81" s="15">
        <f>IFERROR(_xlfn.LET(_xlpm.x,_xlfn.LET(_xlpm.n,--_xlfn.TEXTBEFORE(_xlfn.TEXTAFTER(A81,"CONTRATO ")," DE"),_xlpm.c,"CONTRATO "&amp;TEXT(_xlpm.n,"00")&amp;" DE 2026",_xlpm.h,'[1]SECOP II'!$A$1:$CQ$1,_xlpm.d,'[1]SECOP II'!$A$2:$CQ$94,_xlpm.r,INDEX(_xlpm.d,0,MATCH("Referencia del Contrato",_xlpm.h,0)),INDEX(_xlpm.d,MATCH(_xlpm.c,_xlpm.r,0),MATCH("Valor Pagado",_xlpm.h,0))),_xlfn.NUMBERVALUE(SUBSTITUTE(_xlpm.x,"$",""),".",",")),"")</f>
        <v>328623731.69999999</v>
      </c>
      <c r="K81" s="16">
        <f t="shared" si="5"/>
        <v>5140800</v>
      </c>
      <c r="L81" s="17">
        <f t="shared" si="6"/>
        <v>0.98459752456674832</v>
      </c>
      <c r="M81" s="18">
        <f>[1]Contratos!O81</f>
        <v>46234</v>
      </c>
      <c r="N81" s="18">
        <f>[1]Contratos!P81</f>
        <v>46240</v>
      </c>
      <c r="O81" s="18">
        <f>[1]Contratos!Q81</f>
        <v>46600</v>
      </c>
      <c r="P81" s="18" t="str">
        <f>IFERROR(VLOOKUP(A81, [1]Otrosí!A:L, 7, FALSE), "N/A")</f>
        <v>N/A</v>
      </c>
      <c r="Q81" s="19" t="str">
        <f>IFERROR(_xlfn.LET(_xlpm.h,'[1]SECOP II'!$A$1:$CQ$1,_xlpm.d,'[1]SECOP II'!$A$2:$CQ$94,_xlpm.r,INDEX(_xlpm.d,0,MATCH("Referencia del Contrato",_xlpm.h,0)),INDEX(_xlpm.d,MATCH("CONTRATO 80 DE 2026",_xlpm.r,0),MATCH("Tipo de Contrato",_xlpm.h,0))),"")</f>
        <v>Prestación de servicios</v>
      </c>
      <c r="R81" s="20" t="str">
        <f>IFERROR(_xlfn.LET(_xlpm.n,--_xlfn.TEXTBEFORE(_xlfn.TEXTAFTER(A81,"CONTRATO ")," DE"),_xlpm.c,"CONTRATO "&amp;TEXT(_xlpm.n,"00")&amp;" DE 2026",_xlpm.h,'[1]SECOP II'!$A$1:$CQ$1,_xlpm.d,'[1]SECOP II'!$A$2:$CQ$94,_xlpm.r,INDEX(_xlpm.d,0,MATCH("Referencia del Contrato",_xlpm.h,0)),INDEX(_xlpm.d,MATCH(_xlpm.c,_xlpm.r,0),MATCH("Destino Gasto",_xlpm.h,0))),"")</f>
        <v>Inversión</v>
      </c>
      <c r="S81" s="34" t="str">
        <f>IFERROR(_xlfn.LET(_xlpm.n,--_xlfn.TEXTBEFORE(_xlfn.TEXTAFTER(A81,"CONTRATO ")," DE"),_xlpm.c,"CONTRATO "&amp;TEXT(_xlpm.n,"00")&amp;" DE 2026",_xlpm.h,'[1]SECOP II'!$A$1:$CQ$1,_xlpm.d,'[1]SECOP II'!$A$2:$CQ$94,_xlpm.r,INDEX(_xlpm.d,0,MATCH("Referencia del Contrato",_xlpm.h,0)),INDEX(_xlpm.d,MATCH(_xlpm.c,_xlpm.r,0),MATCH("URLProceso",_xlpm.h,0))),"")</f>
        <v>https://community.secop.gov.co/Public/Tendering/OpportunityDetail/Index?noticeUID=CO1.NTC.10594647&amp;isFromPublicArea=True&amp;isModal=true&amp;asPopupView=true</v>
      </c>
      <c r="T81" s="22" t="str">
        <f>IFERROR(_xlfn.LET(_xlpm.h,'[1]SECOP II'!$A$1:$CQ$1,_xlpm.d,'[1]SECOP II'!$A$2:$CQ$94,_xlpm.r,INDEX(_xlpm.d,0,MATCH("Referencia del Contrato",_xlpm.h,0)),INDEX(_xlpm.d,MATCH("CONTRATO 80 DE 2026",_xlpm.r,0),MATCH("Estado Contrato",_xlpm.h,0))),"")</f>
        <v>En ejecución</v>
      </c>
      <c r="U81" s="10" t="str">
        <f>[1]Contratos!C81</f>
        <v>PJ</v>
      </c>
      <c r="V81" s="10" t="str">
        <f>[1]Contratos!I81</f>
        <v>TECNOLOGÍAS Y SIST. DE INF. / GESTIÓN ADM. Y FIN.</v>
      </c>
      <c r="W81" s="23" t="str">
        <f>[1]Contratos!J81</f>
        <v>SANDRA SALAZAR / CLAUDIA UMAÑA</v>
      </c>
      <c r="X81" s="24" t="str" cm="1">
        <f t="array" ref="X81">IFERROR(VLOOKUP(W81,[1]COORD!$A$27:$B$67, 2, FALSE),[1]COORD!$B$27:$B$67)</f>
        <v>52075451 / 46675942</v>
      </c>
      <c r="Y81" s="25" t="s">
        <v>57</v>
      </c>
      <c r="Z81" s="26">
        <v>900554898</v>
      </c>
      <c r="AA81" s="27" cm="1">
        <f t="array" ref="AA81">IF(OR(Z81="",Z81="N/A"),"N/A",IF(ISERROR(VALUE(IF(ISNUMBER(FIND("-",TEXT(Z81,"@"))),LEFT(TEXT(Z81,"@"),FIND("-",TEXT(Z81,"@"))-1),TEXT(Z81,"@")))),"N/A",IF(MOD(SUMPRODUCT(VALUE(MID(TEXT(VALUE(IF(ISNUMBER(FIND("-",TEXT(Z81,"@"))),LEFT(TEXT(Z81,"@"),FIND("-",TEXT(Z81,"@"))-1),TEXT(Z81,"@"))),"000000000000000"),{15,14,13,12,11,10,9,8,7,6,5,4,3,2,1},1)),{3,7,13,17,19,23,29,37,41,43,47,53,59,67,71}),11)=0,0,IF(MOD(SUMPRODUCT(VALUE(MID(TEXT(VALUE(IF(ISNUMBER(FIND("-",TEXT(Z81,"@"))),LEFT(TEXT(Z81,"@"),FIND("-",TEXT(Z81,"@"))-1),TEXT(Z81,"@"))),"000000000000000"),{15,14,13,12,11,10,9,8,7,6,5,4,3,2,1},1)),{3,7,13,17,19,23,29,37,41,43,47,53,59,67,71}),11)=1,1,11-MOD(SUMPRODUCT(VALUE(MID(TEXT(VALUE(IF(ISNUMBER(FIND("-",TEXT(Z81,"@"))),LEFT(TEXT(Z81,"@"),FIND("-",TEXT(Z81,"@"))-1),TEXT(Z81,"@"))),"000000000000000"),{15,14,13,12,11,10,9,8,7,6,5,4,3,2,1},1)),{3,7,13,17,19,23,29,37,41,43,47,53,59,67,71}),11)))))</f>
        <v>9</v>
      </c>
      <c r="AB81" s="27">
        <v>81112209</v>
      </c>
      <c r="AC81" s="29" t="str">
        <f>[1]Contratos!Z81</f>
        <v>NO</v>
      </c>
      <c r="AD81" s="30">
        <f t="shared" si="7"/>
        <v>366</v>
      </c>
      <c r="AE81" s="31"/>
      <c r="AF81" s="31" t="str" cm="1">
        <f t="array" ref="AF81">IF(AG81="","",IFERROR(_xlfn.LET(_xlpm.x,INDEX([1]RP!$Z$2:$Z$706,MATCH(AG81&amp;"",[1]RP!$A$2:$A$706&amp;"",0)),IF(_xlpm.x="","",_xlpm.x)),""))</f>
        <v>16526</v>
      </c>
      <c r="AG81" s="31" cm="1">
        <f t="array" ref="AG81">IF(A81="","",IFERROR(_xlfn.LET(_xlpm.rp,[1]RP!$A$2:$A$706,_xlpm.dt,IFERROR(DATE(--LEFT([1]RP!$B$2:$B$706,4),--MID([1]RP!$B$2:$B$706,6,2),--MID([1]RP!$B$2:$B$706,9,2)),0),_xlpm.qid,UPPER(SUBSTITUTE(SUBSTITUTE(SUBSTITUTE(SUBSTITUTE([1]RP!$Q$2:$Q$706,".",""),"-","")," ",""),"O","0")),_xlpm.eid,UPPER(SUBSTITUTE(SUBSTITUTE(SUBSTITUTE(SUBSTITUTE(Z81,".",""),"-","")," ",""),"O","0")),_xlpm.qnm,UPPER(SUBSTITUTE(SUBSTITUTE(SUBSTITUTE(SUBSTITUTE(SUBSTITUTE([1]RP!$R$2:$R$706,".",""),"-","")," ",""),"Á","A"),"É","E")),_xlpm.enm,UPPER(SUBSTITUTE(SUBSTITUTE(SUBSTITUTE(SUBSTITUTE(SUBSTITUTE(B81,".",""),"-",""),"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81,"CONTRATO ")," DE")&amp;"/2026",_xlpm.dm,--ISNUMBER(SEARCH(_xlpm.num,_xlpm.sup)),_xlpm.dif,IF(_xlpm.ok,(1-_xlpm.dm)*1000000+IF(AND(ISNUMBER(M81),M81&gt;0),ABS(_xlpm.dt-M81),0),1E+99),_xlpm.md,MIN(_xlpm.dif),INDEX(_xlfn._xlws.FILTER(_xlpm.rp,(_xlpm.ok&gt;0)*(_xlpm.dif=_xlpm.md)),1)),""))</f>
        <v>28226</v>
      </c>
      <c r="AH81" s="32" cm="1">
        <f t="array" ref="AH81">IF(AF81="","",IFERROR(_xlfn.LET(_xlpm.x,INDEX([1]CDP!$B$2:$B$322,MATCH(AF81&amp;"",[1]CDP!$A$2:$A$322&amp;"",0)),IF(ISNUMBER(_xlpm.x),_xlpm.x,DATE(--LEFT(_xlpm.x,4),--MID(_xlpm.x,6,2),--MID(_xlpm.x,9,2)))),""))</f>
        <v>46226</v>
      </c>
    </row>
    <row r="82" spans="1:34" ht="61.5" customHeight="1" x14ac:dyDescent="0.35">
      <c r="A82" s="43" t="str">
        <f>[1]Contratos!A82</f>
        <v>CONTRATO 81 DE 2026</v>
      </c>
      <c r="B82" s="44" t="str">
        <f>[1]Contratos!B82</f>
        <v>RAFAEL POVEDA</v>
      </c>
      <c r="C82" s="44" t="str">
        <f>[1]Contratos!E82</f>
        <v>Prestación de servicios profesionales o Apoyo a la gestión</v>
      </c>
      <c r="D82" s="44" t="s">
        <v>142</v>
      </c>
      <c r="E82" s="45" t="str">
        <f>[1]Contratos!F82</f>
        <v>Prestación de servicios profesionales para fortalecer la comunicación institucional mediante el acompañamiento estratégico, el análisis del entorno mediático, la identificación de riesgos, la definición de una ruta narrativa, la construcción y revisión de mensajes y la preparación de vocerías para asuntos regulatorios de alta exposición pública, en el marco de la estrategia de comunicaciones institucional</v>
      </c>
      <c r="F82" s="46">
        <f>[1]Procesos!F92</f>
        <v>30000000</v>
      </c>
      <c r="G82" s="47">
        <f>[1]Contratos!G82</f>
        <v>0</v>
      </c>
      <c r="H82" s="48" t="str">
        <f>IFERROR(VLOOKUP(A82, [1]Otrosí!A:F, 6, FALSE), "0")</f>
        <v>0</v>
      </c>
      <c r="I82" s="47">
        <f t="shared" si="4"/>
        <v>0</v>
      </c>
      <c r="J82" s="57" t="s">
        <v>156</v>
      </c>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t="61.5" customHeight="1" x14ac:dyDescent="0.35">
      <c r="A83" s="1" t="str">
        <f>[1]Contratos!A83</f>
        <v>CONTRATO 82 DE 2026</v>
      </c>
      <c r="B83" s="10" t="str">
        <f>[1]Contratos!B83</f>
        <v>ALL TECHNOLOGICAL SERVICES ATS S A S</v>
      </c>
      <c r="C83" s="10" t="str">
        <f>[1]Contratos!E83</f>
        <v>Mínima cuantía</v>
      </c>
      <c r="D83" s="10" t="s">
        <v>143</v>
      </c>
      <c r="E83" s="11" t="str">
        <f>[1]Contratos!F83</f>
        <v>Contratar el servicio de Mantenimiento preventivo y correctivo con suministro de repuestos, partes y accesorios nuevos y originales no remanufacturados, a todo costo, para los equipos eléctricos y electrónicos de la Comisión de Regulación de Comunicaciones.</v>
      </c>
      <c r="F83" s="42">
        <f>[1]Procesos!F86</f>
        <v>10731370</v>
      </c>
      <c r="G83" s="13">
        <f>[1]Contratos!G83</f>
        <v>5902257</v>
      </c>
      <c r="H83" s="14" t="str">
        <f>IFERROR(VLOOKUP(A83, [1]Otrosí!A:F, 6, FALSE), "0")</f>
        <v>0</v>
      </c>
      <c r="I83" s="13">
        <f t="shared" si="4"/>
        <v>5902257</v>
      </c>
      <c r="J83" s="15">
        <f>IFERROR(_xlfn.LET(_xlpm.x,_xlfn.LET(_xlpm.n,--_xlfn.TEXTBEFORE(_xlfn.TEXTAFTER(A83,"CONTRATO ")," DE"),_xlpm.c,"CONTRATO "&amp;TEXT(_xlpm.n,"00")&amp;" DE 2026",_xlpm.h,'[1]SECOP II'!$A$1:$CQ$1,_xlpm.d,'[1]SECOP II'!$A$2:$CQ$94,_xlpm.r,INDEX(_xlpm.d,0,MATCH("Referencia del Contrato",_xlpm.h,0)),INDEX(_xlpm.d,MATCH(_xlpm.c,_xlpm.r,0),MATCH("Valor Pagado",_xlpm.h,0))),_xlfn.NUMBERVALUE(SUBSTITUTE(_xlpm.x,"$",""),".",",")),"")</f>
        <v>0</v>
      </c>
      <c r="K83" s="16">
        <f t="shared" si="5"/>
        <v>5902257</v>
      </c>
      <c r="L83" s="17">
        <f t="shared" si="6"/>
        <v>0</v>
      </c>
      <c r="M83" s="18">
        <f>[1]Contratos!O83</f>
        <v>46231</v>
      </c>
      <c r="N83" s="18">
        <f>[1]Contratos!P83</f>
        <v>46233</v>
      </c>
      <c r="O83" s="18">
        <f>[1]Contratos!Q83</f>
        <v>46356</v>
      </c>
      <c r="P83" s="18" t="str">
        <f>IFERROR(VLOOKUP(A83, [1]Otrosí!A:L, 7, FALSE), "N/A")</f>
        <v>N/A</v>
      </c>
      <c r="Q83" s="19" t="str">
        <f>IFERROR(_xlfn.LET(_xlpm.h,'[1]SECOP II'!$A$1:$CQ$1,_xlpm.d,'[1]SECOP II'!$A$2:$CQ$94,_xlpm.r,INDEX(_xlpm.d,0,MATCH("Referencia del Contrato",_xlpm.h,0)),INDEX(_xlpm.d,MATCH("CONTRATO 82 DE 2026",_xlpm.r,0),MATCH("Tipo de Contrato",_xlpm.h,0))),"")</f>
        <v>Prestación de servicios</v>
      </c>
      <c r="R83" s="20" t="str">
        <f>IFERROR(_xlfn.LET(_xlpm.n,--_xlfn.TEXTBEFORE(_xlfn.TEXTAFTER(A83,"CONTRATO ")," DE"),_xlpm.c,"CONTRATO "&amp;TEXT(_xlpm.n,"00")&amp;" DE 2026",_xlpm.h,'[1]SECOP II'!$A$1:$CQ$1,_xlpm.d,'[1]SECOP II'!$A$2:$CQ$94,_xlpm.r,INDEX(_xlpm.d,0,MATCH("Referencia del Contrato",_xlpm.h,0)),INDEX(_xlpm.d,MATCH(_xlpm.c,_xlpm.r,0),MATCH("Destino Gasto",_xlpm.h,0))),"")</f>
        <v>Funcionamiento</v>
      </c>
      <c r="S83" s="34" t="str">
        <f>IFERROR(_xlfn.LET(_xlpm.n,--_xlfn.TEXTBEFORE(_xlfn.TEXTAFTER(A83,"CONTRATO ")," DE"),_xlpm.c,"CONTRATO "&amp;TEXT(_xlpm.n,"00")&amp;" DE 2026",_xlpm.h,'[1]SECOP II'!$A$1:$CQ$1,_xlpm.d,'[1]SECOP II'!$A$2:$CQ$94,_xlpm.r,INDEX(_xlpm.d,0,MATCH("Referencia del Contrato",_xlpm.h,0)),INDEX(_xlpm.d,MATCH(_xlpm.c,_xlpm.r,0),MATCH("URLProceso",_xlpm.h,0))),"")</f>
        <v>https://community.secop.gov.co/Public/Tendering/OpportunityDetail/Index?noticeUID=CO1.NTC.10486431&amp;isFromPublicArea=True&amp;isModal=true&amp;asPopupView=true</v>
      </c>
      <c r="T83" s="22" t="str">
        <f>IFERROR(_xlfn.LET(_xlpm.h,'[1]SECOP II'!$A$1:$CQ$1,_xlpm.d,'[1]SECOP II'!$A$2:$CQ$94,_xlpm.r,INDEX(_xlpm.d,0,MATCH("Referencia del Contrato",_xlpm.h,0)),INDEX(_xlpm.d,MATCH("CONTRATO 82 DE 2026",_xlpm.r,0),MATCH("Estado Contrato",_xlpm.h,0))),"")</f>
        <v>En ejecución</v>
      </c>
      <c r="U83" s="10" t="str">
        <f>[1]Contratos!C83</f>
        <v>PJ</v>
      </c>
      <c r="V83" s="10" t="str">
        <f>[1]Contratos!I83</f>
        <v>GESTIÓN ADM. Y FIN</v>
      </c>
      <c r="W83" s="23" t="str">
        <f>[1]Contratos!J83</f>
        <v>LUIS JORGE GUEVARA</v>
      </c>
      <c r="X83" s="24" cm="1">
        <f t="array" ref="X83">IFERROR(VLOOKUP(W83,[1]COORD!$A$27:$B$67, 2, FALSE),[1]COORD!$B$27:$B$67)</f>
        <v>80811747</v>
      </c>
      <c r="Y83" s="25" t="s">
        <v>57</v>
      </c>
      <c r="Z83" s="26">
        <v>900627060</v>
      </c>
      <c r="AA83" s="27" cm="1">
        <f t="array" ref="AA83">IF(OR(Z83="",Z83="N/A"),"N/A",IF(ISERROR(VALUE(IF(ISNUMBER(FIND("-",TEXT(Z83,"@"))),LEFT(TEXT(Z83,"@"),FIND("-",TEXT(Z83,"@"))-1),TEXT(Z83,"@")))),"N/A",IF(MOD(SUMPRODUCT(VALUE(MID(TEXT(VALUE(IF(ISNUMBER(FIND("-",TEXT(Z83,"@"))),LEFT(TEXT(Z83,"@"),FIND("-",TEXT(Z83,"@"))-1),TEXT(Z83,"@"))),"000000000000000"),{15,14,13,12,11,10,9,8,7,6,5,4,3,2,1},1)),{3,7,13,17,19,23,29,37,41,43,47,53,59,67,71}),11)=0,0,IF(MOD(SUMPRODUCT(VALUE(MID(TEXT(VALUE(IF(ISNUMBER(FIND("-",TEXT(Z83,"@"))),LEFT(TEXT(Z83,"@"),FIND("-",TEXT(Z83,"@"))-1),TEXT(Z83,"@"))),"000000000000000"),{15,14,13,12,11,10,9,8,7,6,5,4,3,2,1},1)),{3,7,13,17,19,23,29,37,41,43,47,53,59,67,71}),11)=1,1,11-MOD(SUMPRODUCT(VALUE(MID(TEXT(VALUE(IF(ISNUMBER(FIND("-",TEXT(Z83,"@"))),LEFT(TEXT(Z83,"@"),FIND("-",TEXT(Z83,"@"))-1),TEXT(Z83,"@"))),"000000000000000"),{15,14,13,12,11,10,9,8,7,6,5,4,3,2,1},1)),{3,7,13,17,19,23,29,37,41,43,47,53,59,67,71}),11)))))</f>
        <v>9</v>
      </c>
      <c r="AB83" s="27">
        <v>72154065</v>
      </c>
      <c r="AC83" s="29" t="str">
        <f>[1]Contratos!Z83</f>
        <v>N/A</v>
      </c>
      <c r="AD83" s="30">
        <f t="shared" si="7"/>
        <v>125</v>
      </c>
      <c r="AE83" s="31"/>
      <c r="AF83" s="31" t="str" cm="1">
        <f t="array" ref="AF83">IF(AG83="","",IFERROR(_xlfn.LET(_xlpm.x,INDEX([1]RP!$Z$2:$Z$706,MATCH(AG83&amp;"",[1]RP!$A$2:$A$706&amp;"",0)),IF(_xlpm.x="","",_xlpm.x)),""))</f>
        <v>15926</v>
      </c>
      <c r="AG83" s="31" cm="1">
        <f t="array" ref="AG83">IF(A83="","",IFERROR(_xlfn.LET(_xlpm.rp,[1]RP!$A$2:$A$706,_xlpm.dt,IFERROR(DATE(--LEFT([1]RP!$B$2:$B$706,4),--MID([1]RP!$B$2:$B$706,6,2),--MID([1]RP!$B$2:$B$706,9,2)),0),_xlpm.qid,UPPER(SUBSTITUTE(SUBSTITUTE(SUBSTITUTE(SUBSTITUTE([1]RP!$Q$2:$Q$706,".",""),"-","")," ",""),"O","0")),_xlpm.eid,UPPER(SUBSTITUTE(SUBSTITUTE(SUBSTITUTE(SUBSTITUTE(Z83,".",""),"-","")," ",""),"O","0")),_xlpm.qnm,UPPER(SUBSTITUTE(SUBSTITUTE(SUBSTITUTE(SUBSTITUTE(SUBSTITUTE([1]RP!$R$2:$R$706,".",""),"-","")," ",""),"Á","A"),"É","E")),_xlpm.enm,UPPER(SUBSTITUTE(SUBSTITUTE(SUBSTITUTE(SUBSTITUTE(SUBSTITUTE(B83,".",""),"-",""),"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83,"CONTRATO ")," DE")&amp;"/2026",_xlpm.dm,--ISNUMBER(SEARCH(_xlpm.num,_xlpm.sup)),_xlpm.dif,IF(_xlpm.ok,(1-_xlpm.dm)*1000000+IF(AND(ISNUMBER(M83),M83&gt;0),ABS(_xlpm.dt-M83),0),1E+99),_xlpm.md,MIN(_xlpm.dif),INDEX(_xlfn._xlws.FILTER(_xlpm.rp,(_xlpm.ok&gt;0)*(_xlpm.dif=_xlpm.md)),1)),""))</f>
        <v>27326</v>
      </c>
      <c r="AH83" s="32" cm="1">
        <f t="array" ref="AH83">IF(AF83="","",IFERROR(_xlfn.LET(_xlpm.x,INDEX([1]CDP!$B$2:$B$322,MATCH(AF83&amp;"",[1]CDP!$A$2:$A$322&amp;"",0)),IF(ISNUMBER(_xlpm.x),_xlpm.x,DATE(--LEFT(_xlpm.x,4),--MID(_xlpm.x,6,2),--MID(_xlpm.x,9,2)))),""))</f>
        <v>46212</v>
      </c>
    </row>
    <row r="84" spans="1:34" ht="61.5" customHeight="1" x14ac:dyDescent="0.35">
      <c r="A84" s="1" t="str">
        <f>[1]Contratos!A84</f>
        <v>CONTRATO 83 DE 2026</v>
      </c>
      <c r="B84" s="10" t="str">
        <f>[1]Contratos!B84</f>
        <v>BAG SAS</v>
      </c>
      <c r="C84" s="10" t="str">
        <f>[1]Contratos!E84</f>
        <v>Selección Abreviada de Menor Cuantía</v>
      </c>
      <c r="D84" s="10" t="s">
        <v>144</v>
      </c>
      <c r="E84" s="11" t="str">
        <f>[1]Contratos!F84</f>
        <v xml:space="preserve">Renovación del licenciamiento actual del software de Gestión de Servicios de TI (ITSM) Aranda Service Desk (ASDK) y Aranda Client Management (ACM) hacia un modelo de suscripción cloud con la solución Aranda Service Management Suite (ASMS) y Device Management (ADM), incluyendo los servicios requeridos para su implementación, migración y puesta en operación para la Comisión de Regulación de Comunicaciones - CRC. </v>
      </c>
      <c r="F84" s="42">
        <f>[1]Procesos!F81</f>
        <v>111014148</v>
      </c>
      <c r="G84" s="13">
        <f>[1]Contratos!G84</f>
        <v>90950000</v>
      </c>
      <c r="H84" s="14" t="str">
        <f>IFERROR(VLOOKUP(A84, [1]Otrosí!A:F, 6, FALSE), "0")</f>
        <v>0</v>
      </c>
      <c r="I84" s="13">
        <f t="shared" si="4"/>
        <v>90950000</v>
      </c>
      <c r="J84" s="15">
        <f>IFERROR(_xlfn.LET(_xlpm.x,_xlfn.LET(_xlpm.n,--_xlfn.TEXTBEFORE(_xlfn.TEXTAFTER(A84,"CONTRATO ")," DE"),_xlpm.c,"CONTRATO "&amp;TEXT(_xlpm.n,"00")&amp;" DE 2026",_xlpm.h,'[1]SECOP II'!$A$1:$CQ$1,_xlpm.d,'[1]SECOP II'!$A$2:$CQ$94,_xlpm.r,INDEX(_xlpm.d,0,MATCH("Referencia del Contrato",_xlpm.h,0)),INDEX(_xlpm.d,MATCH(_xlpm.c,_xlpm.r,0),MATCH("Valor Pagado",_xlpm.h,0))),_xlfn.NUMBERVALUE(SUBSTITUTE(_xlpm.x,"$",""),".",",")),"")</f>
        <v>0</v>
      </c>
      <c r="K84" s="16">
        <f t="shared" si="5"/>
        <v>90950000</v>
      </c>
      <c r="L84" s="17">
        <f t="shared" si="6"/>
        <v>0</v>
      </c>
      <c r="M84" s="18">
        <f>[1]Contratos!O84</f>
        <v>46240</v>
      </c>
      <c r="N84" s="18">
        <f>[1]Contratos!P84</f>
        <v>46252</v>
      </c>
      <c r="O84" s="18">
        <f>[1]Contratos!Q84</f>
        <v>46616</v>
      </c>
      <c r="P84" s="18" t="str">
        <f>IFERROR(VLOOKUP(A84, [1]Otrosí!A:L, 7, FALSE), "N/A")</f>
        <v>N/A</v>
      </c>
      <c r="Q84" s="19" t="str">
        <f>IFERROR(_xlfn.LET(_xlpm.h,'[1]SECOP II'!$A$1:$CQ$1,_xlpm.d,'[1]SECOP II'!$A$2:$CQ$94,_xlpm.r,INDEX(_xlpm.d,0,MATCH("Referencia del Contrato",_xlpm.h,0)),INDEX(_xlpm.d,MATCH("CONTRATO 83 DE 2026",_xlpm.r,0),MATCH("Tipo de Contrato",_xlpm.h,0))),"")</f>
        <v>Prestación de servicios</v>
      </c>
      <c r="R84" s="20" t="str">
        <f>IFERROR(_xlfn.LET(_xlpm.n,--_xlfn.TEXTBEFORE(_xlfn.TEXTAFTER(A84,"CONTRATO ")," DE"),_xlpm.c,"CONTRATO "&amp;TEXT(_xlpm.n,"00")&amp;" DE 2026",_xlpm.h,'[1]SECOP II'!$A$1:$CQ$1,_xlpm.d,'[1]SECOP II'!$A$2:$CQ$94,_xlpm.r,INDEX(_xlpm.d,0,MATCH("Referencia del Contrato",_xlpm.h,0)),INDEX(_xlpm.d,MATCH(_xlpm.c,_xlpm.r,0),MATCH("Destino Gasto",_xlpm.h,0))),"")</f>
        <v>Inversión</v>
      </c>
      <c r="S84" s="34" t="str">
        <f>IFERROR(_xlfn.LET(_xlpm.n,--_xlfn.TEXTBEFORE(_xlfn.TEXTAFTER(A84,"CONTRATO ")," DE"),_xlpm.c,"CONTRATO "&amp;TEXT(_xlpm.n,"00")&amp;" DE 2026",_xlpm.h,'[1]SECOP II'!$A$1:$CQ$1,_xlpm.d,'[1]SECOP II'!$A$2:$CQ$94,_xlpm.r,INDEX(_xlpm.d,0,MATCH("Referencia del Contrato",_xlpm.h,0)),INDEX(_xlpm.d,MATCH(_xlpm.c,_xlpm.r,0),MATCH("URLProceso",_xlpm.h,0))),"")</f>
        <v>https://community.secop.gov.co/Public/Tendering/OpportunityDetail/Index?noticeUID=CO1.NTC.10447063&amp;isFromPublicArea=True&amp;isModal=true&amp;asPopupView=true</v>
      </c>
      <c r="T84" s="22" t="str">
        <f>IFERROR(_xlfn.LET(_xlpm.h,'[1]SECOP II'!$A$1:$CQ$1,_xlpm.d,'[1]SECOP II'!$A$2:$CQ$94,_xlpm.r,INDEX(_xlpm.d,0,MATCH("Referencia del Contrato",_xlpm.h,0)),INDEX(_xlpm.d,MATCH("CONTRATO 83 DE 2026",_xlpm.r,0),MATCH("Estado Contrato",_xlpm.h,0))),"")</f>
        <v>En ejecución</v>
      </c>
      <c r="U84" s="10" t="str">
        <f>[1]Contratos!C84</f>
        <v>PJ</v>
      </c>
      <c r="V84" s="10" t="str">
        <f>[1]Contratos!I84</f>
        <v>TECNOLOGÍAS Y SIST. DE INF.</v>
      </c>
      <c r="W84" s="23" t="str">
        <f>[1]Contratos!J84</f>
        <v>DUGLAS LIZCANO</v>
      </c>
      <c r="X84" s="24" cm="1">
        <f t="array" ref="X84">IFERROR(VLOOKUP(W84,[1]COORD!$A$27:$B$67, 2, FALSE),[1]COORD!$B$27:$B$67)</f>
        <v>88218491</v>
      </c>
      <c r="Y84" s="25" t="s">
        <v>57</v>
      </c>
      <c r="Z84" s="26">
        <v>900394093</v>
      </c>
      <c r="AA84" s="27" cm="1">
        <f t="array" ref="AA84">IF(OR(Z84="",Z84="N/A"),"N/A",IF(ISERROR(VALUE(IF(ISNUMBER(FIND("-",TEXT(Z84,"@"))),LEFT(TEXT(Z84,"@"),FIND("-",TEXT(Z84,"@"))-1),TEXT(Z84,"@")))),"N/A",IF(MOD(SUMPRODUCT(VALUE(MID(TEXT(VALUE(IF(ISNUMBER(FIND("-",TEXT(Z84,"@"))),LEFT(TEXT(Z84,"@"),FIND("-",TEXT(Z84,"@"))-1),TEXT(Z84,"@"))),"000000000000000"),{15,14,13,12,11,10,9,8,7,6,5,4,3,2,1},1)),{3,7,13,17,19,23,29,37,41,43,47,53,59,67,71}),11)=0,0,IF(MOD(SUMPRODUCT(VALUE(MID(TEXT(VALUE(IF(ISNUMBER(FIND("-",TEXT(Z84,"@"))),LEFT(TEXT(Z84,"@"),FIND("-",TEXT(Z84,"@"))-1),TEXT(Z84,"@"))),"000000000000000"),{15,14,13,12,11,10,9,8,7,6,5,4,3,2,1},1)),{3,7,13,17,19,23,29,37,41,43,47,53,59,67,71}),11)=1,1,11-MOD(SUMPRODUCT(VALUE(MID(TEXT(VALUE(IF(ISNUMBER(FIND("-",TEXT(Z84,"@"))),LEFT(TEXT(Z84,"@"),FIND("-",TEXT(Z84,"@"))-1),TEXT(Z84,"@"))),"000000000000000"),{15,14,13,12,11,10,9,8,7,6,5,4,3,2,1},1)),{3,7,13,17,19,23,29,37,41,43,47,53,59,67,71}),11)))))</f>
        <v>1</v>
      </c>
      <c r="AB84" s="27">
        <v>43231501</v>
      </c>
      <c r="AC84" s="29" t="str">
        <f>[1]Contratos!Z84</f>
        <v>N/A</v>
      </c>
      <c r="AD84" s="30">
        <f t="shared" si="7"/>
        <v>376</v>
      </c>
      <c r="AE84" s="31"/>
      <c r="AF84" s="31" t="str" cm="1">
        <f t="array" ref="AF84">IF(AG84="","",IFERROR(_xlfn.LET(_xlpm.x,INDEX([1]RP!$Z$2:$Z$706,MATCH(AG84&amp;"",[1]RP!$A$2:$A$706&amp;"",0)),IF(_xlpm.x="","",_xlpm.x)),""))</f>
        <v>14926</v>
      </c>
      <c r="AG84" s="31" cm="1">
        <f t="array" ref="AG84">IF(A84="","",IFERROR(_xlfn.LET(_xlpm.rp,[1]RP!$A$2:$A$706,_xlpm.dt,IFERROR(DATE(--LEFT([1]RP!$B$2:$B$706,4),--MID([1]RP!$B$2:$B$706,6,2),--MID([1]RP!$B$2:$B$706,9,2)),0),_xlpm.qid,UPPER(SUBSTITUTE(SUBSTITUTE(SUBSTITUTE(SUBSTITUTE([1]RP!$Q$2:$Q$706,".",""),"-","")," ",""),"O","0")),_xlpm.eid,UPPER(SUBSTITUTE(SUBSTITUTE(SUBSTITUTE(SUBSTITUTE(Z84,".",""),"-","")," ",""),"O","0")),_xlpm.qnm,UPPER(SUBSTITUTE(SUBSTITUTE(SUBSTITUTE(SUBSTITUTE(SUBSTITUTE([1]RP!$R$2:$R$706,".",""),"-","")," ",""),"Á","A"),"É","E")),_xlpm.enm,UPPER(SUBSTITUTE(SUBSTITUTE(SUBSTITUTE(SUBSTITUTE(SUBSTITUTE(B84,".",""),"-",""),"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84,"CONTRATO ")," DE")&amp;"/2026",_xlpm.dm,--ISNUMBER(SEARCH(_xlpm.num,_xlpm.sup)),_xlpm.dif,IF(_xlpm.ok,(1-_xlpm.dm)*1000000+IF(AND(ISNUMBER(M84),M84&gt;0),ABS(_xlpm.dt-M84),0),1E+99),_xlpm.md,MIN(_xlpm.dif),INDEX(_xlfn._xlws.FILTER(_xlpm.rp,(_xlpm.ok&gt;0)*(_xlpm.dif=_xlpm.md)),1)),""))</f>
        <v>29026</v>
      </c>
      <c r="AH84" s="32" cm="1">
        <f t="array" ref="AH84">IF(AF84="","",IFERROR(_xlfn.LET(_xlpm.x,INDEX([1]CDP!$B$2:$B$322,MATCH(AF84&amp;"",[1]CDP!$A$2:$A$322&amp;"",0)),IF(ISNUMBER(_xlpm.x),_xlpm.x,DATE(--LEFT(_xlpm.x,4),--MID(_xlpm.x,6,2),--MID(_xlpm.x,9,2)))),""))</f>
        <v>46184</v>
      </c>
    </row>
    <row r="85" spans="1:34" ht="61.5" customHeight="1" x14ac:dyDescent="0.35">
      <c r="A85" s="1" t="str">
        <f>[1]Contratos!A85</f>
        <v>CONTRATO 84 DE 2026</v>
      </c>
      <c r="B85" s="10" t="str">
        <f>[1]Contratos!B85</f>
        <v>DIANA CIFUENTES</v>
      </c>
      <c r="C85" s="10" t="str">
        <f>[1]Contratos!E85</f>
        <v>Prestación de servicios profesionales o Apoyo a la gestión</v>
      </c>
      <c r="D85" s="10" t="s">
        <v>145</v>
      </c>
      <c r="E85" s="11" t="str">
        <f>[1]Contratos!F85</f>
        <v xml:space="preserve">Prestar servicios profesionales especializados de apoyo técnico a la CRC en los componentes de diseño de experiencia de usuario (UX/UI), arquitectura de información, accesibilidad, usabilidad y desarrollo Front-end que se requieran para el fortalecimiento del ecosistema digital Aula CRC, incluyendo la estructuración, implementación y despliegue del Centro Interactivo de Recursos Pedagógicos, así como para la mejora del entorno LMS Moodle, de acuerdo con los lineamientos, requerimientos y la estrategia definidos por la Entidad, garantizando la coherencia visual y la integración orgánica entre ambos entornos. </v>
      </c>
      <c r="F85" s="42">
        <f>[1]Procesos!F93</f>
        <v>59400000</v>
      </c>
      <c r="G85" s="13">
        <f>[1]Contratos!G85</f>
        <v>59400000</v>
      </c>
      <c r="H85" s="14" t="str">
        <f>IFERROR(VLOOKUP(A85, [1]Otrosí!A:F, 6, FALSE), "0")</f>
        <v>0</v>
      </c>
      <c r="I85" s="13">
        <f t="shared" si="4"/>
        <v>59400000</v>
      </c>
      <c r="J85" s="15">
        <f>IFERROR(_xlfn.LET(_xlpm.x,_xlfn.LET(_xlpm.n,--_xlfn.TEXTBEFORE(_xlfn.TEXTAFTER(A85,"CONTRATO ")," DE"),_xlpm.c,"CONTRATO "&amp;TEXT(_xlpm.n,"00")&amp;" DE 2026",_xlpm.h,'[1]SECOP II'!$A$1:$CQ$1,_xlpm.d,'[1]SECOP II'!$A$2:$CQ$94,_xlpm.r,INDEX(_xlpm.d,0,MATCH("Referencia del Contrato",_xlpm.h,0)),INDEX(_xlpm.d,MATCH(_xlpm.c,_xlpm.r,0),MATCH("Valor Pagado",_xlpm.h,0))),_xlfn.NUMBERVALUE(SUBSTITUTE(_xlpm.x,"$",""),".",",")),"")</f>
        <v>13200000</v>
      </c>
      <c r="K85" s="16">
        <f t="shared" si="5"/>
        <v>46200000</v>
      </c>
      <c r="L85" s="17">
        <f t="shared" si="6"/>
        <v>0.22222222222222221</v>
      </c>
      <c r="M85" s="18">
        <f>[1]Contratos!O85</f>
        <v>46239</v>
      </c>
      <c r="N85" s="18">
        <f>[1]Contratos!P85</f>
        <v>46245</v>
      </c>
      <c r="O85" s="18">
        <f>[1]Contratos!Q85</f>
        <v>46382</v>
      </c>
      <c r="P85" s="18" t="str">
        <f>IFERROR(VLOOKUP(A85, [1]Otrosí!A:L, 7, FALSE), "N/A")</f>
        <v>N/A</v>
      </c>
      <c r="Q85" s="19" t="str">
        <f>IFERROR(_xlfn.LET(_xlpm.h,'[1]SECOP II'!$A$1:$CQ$1,_xlpm.d,'[1]SECOP II'!$A$2:$CQ$94,_xlpm.r,INDEX(_xlpm.d,0,MATCH("Referencia del Contrato",_xlpm.h,0)),INDEX(_xlpm.d,MATCH("CONTRATO 84 DE 2026",_xlpm.r,0),MATCH("Tipo de Contrato",_xlpm.h,0))),"")</f>
        <v>Prestación de servicios</v>
      </c>
      <c r="R85" s="20" t="str">
        <f>IFERROR(_xlfn.LET(_xlpm.n,--_xlfn.TEXTBEFORE(_xlfn.TEXTAFTER(A85,"CONTRATO ")," DE"),_xlpm.c,"CONTRATO "&amp;TEXT(_xlpm.n,"00")&amp;" DE 2026",_xlpm.h,'[1]SECOP II'!$A$1:$CQ$1,_xlpm.d,'[1]SECOP II'!$A$2:$CQ$94,_xlpm.r,INDEX(_xlpm.d,0,MATCH("Referencia del Contrato",_xlpm.h,0)),INDEX(_xlpm.d,MATCH(_xlpm.c,_xlpm.r,0),MATCH("Destino Gasto",_xlpm.h,0))),"")</f>
        <v>Inversión</v>
      </c>
      <c r="S85" s="34" t="str">
        <f>IFERROR(_xlfn.LET(_xlpm.n,--_xlfn.TEXTBEFORE(_xlfn.TEXTAFTER(A85,"CONTRATO ")," DE"),_xlpm.c,"CONTRATO "&amp;TEXT(_xlpm.n,"00")&amp;" DE 2026",_xlpm.h,'[1]SECOP II'!$A$1:$CQ$1,_xlpm.d,'[1]SECOP II'!$A$2:$CQ$94,_xlpm.r,INDEX(_xlpm.d,0,MATCH("Referencia del Contrato",_xlpm.h,0)),INDEX(_xlpm.d,MATCH(_xlpm.c,_xlpm.r,0),MATCH("URLProceso",_xlpm.h,0))),"")</f>
        <v>https://community.secop.gov.co/Public/Tendering/OpportunityDetail/Index?noticeUID=CO1.NTC.10647915&amp;isFromPublicArea=True&amp;isModal=true&amp;asPopupView=true</v>
      </c>
      <c r="T85" s="22" t="str">
        <f>IFERROR(_xlfn.LET(_xlpm.h,'[1]SECOP II'!$A$1:$CQ$1,_xlpm.d,'[1]SECOP II'!$A$2:$CQ$94,_xlpm.r,INDEX(_xlpm.d,0,MATCH("Referencia del Contrato",_xlpm.h,0)),INDEX(_xlpm.d,MATCH("CONTRATO 84 DE 2026",_xlpm.r,0),MATCH("Estado Contrato",_xlpm.h,0))),"")</f>
        <v>En ejecución</v>
      </c>
      <c r="U85" s="10" t="str">
        <f>[1]Contratos!C85</f>
        <v>PN</v>
      </c>
      <c r="V85" s="10" t="str">
        <f>[1]Contratos!I85</f>
        <v>PEDAGOGÍA REGULATORIA / TECNOLOGÍAS Y SIST. DE INF.</v>
      </c>
      <c r="W85" s="23" t="str">
        <f>[1]Contratos!J85</f>
        <v>WILVER DELGADO / RICARDO RAMÍREZ</v>
      </c>
      <c r="X85" s="24" t="str" cm="1">
        <f t="array" ref="X85">IFERROR(VLOOKUP(W85,[1]COORD!$A$27:$B$67, 2, FALSE),[1]COORD!$B$27:$B$67)</f>
        <v>13747812 / 79444533</v>
      </c>
      <c r="Y85" s="25" t="s">
        <v>35</v>
      </c>
      <c r="Z85" s="26">
        <v>53123158</v>
      </c>
      <c r="AA85" s="27" t="str" cm="1">
        <f t="array" ref="AA85">IF(Y85&lt;&gt;"NIT","N/A",IF(OR(Z85="",Z85="N/A"),"N/A",IF(ISERROR(VALUE(IF(ISNUMBER(FIND("-",TEXT(Z85,"@"))),LEFT(TEXT(Z85,"@"),FIND("-",TEXT(Z85,"@"))-1),TEXT(Z85,"@")))),"N/A",IF(MOD(SUMPRODUCT(VALUE(MID(TEXT(VALUE(IF(ISNUMBER(FIND("-",TEXT(Z85,"@"))),LEFT(TEXT(Z85,"@"),FIND("-",TEXT(Z85,"@"))-1),TEXT(Z85,"@"))),"000000000000000"),{15,14,13,12,11,10,9,8,7,6,5,4,3,2,1},1)),{3,7,13,17,19,23,29,37,41,43,47,53,59,67,71}),11)=0,0,IF(MOD(SUMPRODUCT(VALUE(MID(TEXT(VALUE(IF(ISNUMBER(FIND("-",TEXT(Z85,"@"))),LEFT(TEXT(Z85,"@"),FIND("-",TEXT(Z85,"@"))-1),TEXT(Z85,"@"))),"000000000000000"),{15,14,13,12,11,10,9,8,7,6,5,4,3,2,1},1)),{3,7,13,17,19,23,29,37,41,43,47,53,59,67,71}),11)=1,1,11-MOD(SUMPRODUCT(VALUE(MID(TEXT(VALUE(IF(ISNUMBER(FIND("-",TEXT(Z85,"@"))),LEFT(TEXT(Z85,"@"),FIND("-",TEXT(Z85,"@"))-1),TEXT(Z85,"@"))),"000000000000000"),{15,14,13,12,11,10,9,8,7,6,5,4,3,2,1},1)),{3,7,13,17,19,23,29,37,41,43,47,53,59,67,71}),11))))))</f>
        <v>N/A</v>
      </c>
      <c r="AB85" s="27">
        <v>81112103</v>
      </c>
      <c r="AC85" s="29" t="str">
        <f>[1]Contratos!Z85</f>
        <v>NO</v>
      </c>
      <c r="AD85" s="30">
        <f t="shared" si="7"/>
        <v>143</v>
      </c>
      <c r="AE85" s="31"/>
      <c r="AF85" s="31" t="str" cm="1">
        <f t="array" ref="AF85">IF(AG85="","",IFERROR(_xlfn.LET(_xlpm.x,INDEX([1]RP!$Z$2:$Z$706,MATCH(AG85&amp;"",[1]RP!$A$2:$A$706&amp;"",0)),IF(_xlpm.x="","",_xlpm.x)),""))</f>
        <v>17126</v>
      </c>
      <c r="AG85" s="31" cm="1">
        <f t="array" ref="AG85">IF(A85="","",IFERROR(_xlfn.LET(_xlpm.rp,[1]RP!$A$2:$A$706,_xlpm.dt,IFERROR(DATE(--LEFT([1]RP!$B$2:$B$706,4),--MID([1]RP!$B$2:$B$706,6,2),--MID([1]RP!$B$2:$B$706,9,2)),0),_xlpm.qid,UPPER(SUBSTITUTE(SUBSTITUTE(SUBSTITUTE(SUBSTITUTE([1]RP!$Q$2:$Q$706,".",""),"-","")," ",""),"O","0")),_xlpm.eid,UPPER(SUBSTITUTE(SUBSTITUTE(SUBSTITUTE(SUBSTITUTE(Z85,".",""),"-","")," ",""),"O","0")),_xlpm.qnm,UPPER(SUBSTITUTE(SUBSTITUTE(SUBSTITUTE(SUBSTITUTE(SUBSTITUTE([1]RP!$R$2:$R$706,".",""),"-","")," ",""),"Á","A"),"É","E")),_xlpm.enm,UPPER(SUBSTITUTE(SUBSTITUTE(SUBSTITUTE(SUBSTITUTE(SUBSTITUTE(B85,".",""),"-",""),"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85,"CONTRATO ")," DE")&amp;"/2026",_xlpm.dm,--ISNUMBER(SEARCH(_xlpm.num,_xlpm.sup)),_xlpm.dif,IF(_xlpm.ok,(1-_xlpm.dm)*1000000+IF(AND(ISNUMBER(M85),M85&gt;0),ABS(_xlpm.dt-M85),0),1E+99),_xlpm.md,MIN(_xlpm.dif),INDEX(_xlfn._xlws.FILTER(_xlpm.rp,(_xlpm.ok&gt;0)*(_xlpm.dif=_xlpm.md)),1)),""))</f>
        <v>28726</v>
      </c>
      <c r="AH85" s="32" cm="1">
        <f t="array" ref="AH85">IF(AF85="","",IFERROR(_xlfn.LET(_xlpm.x,INDEX([1]CDP!$B$2:$B$322,MATCH(AF85&amp;"",[1]CDP!$A$2:$A$322&amp;"",0)),IF(ISNUMBER(_xlpm.x),_xlpm.x,DATE(--LEFT(_xlpm.x,4),--MID(_xlpm.x,6,2),--MID(_xlpm.x,9,2)))),""))</f>
        <v>46233</v>
      </c>
    </row>
    <row r="86" spans="1:34" ht="112.5" x14ac:dyDescent="0.35">
      <c r="A86" s="1" t="str">
        <f>[1]Contratos!A86</f>
        <v>CONTRATO 85 DE 2026</v>
      </c>
      <c r="B86" s="10" t="str">
        <f>[1]Contratos!B86</f>
        <v>JONATHAN DAVID ASÍAS PINO</v>
      </c>
      <c r="C86" s="10" t="str">
        <f>[1]Contratos!E86</f>
        <v>Prestación de servicios profesionales o Apoyo a la gestión</v>
      </c>
      <c r="D86" s="10" t="s">
        <v>146</v>
      </c>
      <c r="E86" s="11" t="str">
        <f>[1]Contratos!F86</f>
        <v xml:space="preserve">Prestar servicios profesionales especializados de apoyo a la CRC en la configuración, y actualización del entorno LMS (Moodle) del ecosistema Aula CRC, así como la virtualización de nuevos contenidos y la adecuación de recursos pedagógicos interactivos de cursos tipo MOOC, de acuerdo con los requerimientos y lineamientos técnicos definidos por la Entidad. 
 </v>
      </c>
      <c r="F86" s="42">
        <f>[1]Procesos!F94</f>
        <v>27450000</v>
      </c>
      <c r="G86" s="13">
        <f>[1]Contratos!G86</f>
        <v>27450000</v>
      </c>
      <c r="H86" s="14" t="str">
        <f>IFERROR(VLOOKUP(A86, [1]Otrosí!A:F, 6, FALSE), "0")</f>
        <v>0</v>
      </c>
      <c r="I86" s="13">
        <f t="shared" si="4"/>
        <v>27450000</v>
      </c>
      <c r="J86" s="15">
        <f>IFERROR(_xlfn.LET(_xlpm.x,_xlfn.LET(_xlpm.n,--_xlfn.TEXTBEFORE(_xlfn.TEXTAFTER(A86,"CONTRATO ")," DE"),_xlpm.c,"CONTRATO "&amp;TEXT(_xlpm.n,"00")&amp;" DE 2026",_xlpm.h,'[1]SECOP II'!$A$1:$CQ$1,_xlpm.d,'[1]SECOP II'!$A$2:$CQ$94,_xlpm.r,INDEX(_xlpm.d,0,MATCH("Referencia del Contrato",_xlpm.h,0)),INDEX(_xlpm.d,MATCH(_xlpm.c,_xlpm.r,0),MATCH("Valor Pagado",_xlpm.h,0))),_xlfn.NUMBERVALUE(SUBSTITUTE(_xlpm.x,"$",""),".",",")),"")</f>
        <v>6100000</v>
      </c>
      <c r="K86" s="16">
        <f t="shared" si="5"/>
        <v>21350000</v>
      </c>
      <c r="L86" s="17">
        <f t="shared" si="6"/>
        <v>0.22222222222222221</v>
      </c>
      <c r="M86" s="18">
        <f>[1]Contratos!O86</f>
        <v>46239</v>
      </c>
      <c r="N86" s="18">
        <f>[1]Contratos!P86</f>
        <v>46245</v>
      </c>
      <c r="O86" s="18">
        <f>[1]Contratos!Q86</f>
        <v>46382</v>
      </c>
      <c r="P86" s="18" t="str">
        <f>IFERROR(VLOOKUP(A86, [1]Otrosí!A:L, 7, FALSE), "N/A")</f>
        <v>N/A</v>
      </c>
      <c r="Q86" s="19" t="str">
        <f>IFERROR(_xlfn.LET(_xlpm.h,'[1]SECOP II'!$A$1:$CQ$1,_xlpm.d,'[1]SECOP II'!$A$2:$CQ$94,_xlpm.r,INDEX(_xlpm.d,0,MATCH("Referencia del Contrato",_xlpm.h,0)),INDEX(_xlpm.d,MATCH("CONTRATO 85 DE 2026",_xlpm.r,0),MATCH("Tipo de Contrato",_xlpm.h,0))),"")</f>
        <v>Prestación de servicios</v>
      </c>
      <c r="R86" s="20" t="str">
        <f>IFERROR(_xlfn.LET(_xlpm.n,--_xlfn.TEXTBEFORE(_xlfn.TEXTAFTER(A86,"CONTRATO ")," DE"),_xlpm.c,"CONTRATO "&amp;TEXT(_xlpm.n,"00")&amp;" DE 2026",_xlpm.h,'[1]SECOP II'!$A$1:$CQ$1,_xlpm.d,'[1]SECOP II'!$A$2:$CQ$94,_xlpm.r,INDEX(_xlpm.d,0,MATCH("Referencia del Contrato",_xlpm.h,0)),INDEX(_xlpm.d,MATCH(_xlpm.c,_xlpm.r,0),MATCH("Destino Gasto",_xlpm.h,0))),"")</f>
        <v>Inversión</v>
      </c>
      <c r="S86" s="34" t="str">
        <f>IFERROR(_xlfn.LET(_xlpm.n,--_xlfn.TEXTBEFORE(_xlfn.TEXTAFTER(A86,"CONTRATO ")," DE"),_xlpm.c,"CONTRATO "&amp;TEXT(_xlpm.n,"00")&amp;" DE 2026",_xlpm.h,'[1]SECOP II'!$A$1:$CQ$1,_xlpm.d,'[1]SECOP II'!$A$2:$CQ$94,_xlpm.r,INDEX(_xlpm.d,0,MATCH("Referencia del Contrato",_xlpm.h,0)),INDEX(_xlpm.d,MATCH(_xlpm.c,_xlpm.r,0),MATCH("URLProceso",_xlpm.h,0))),"")</f>
        <v>https://community.secop.gov.co/Public/Tendering/OpportunityDetail/Index?noticeUID=CO1.NTC.10649706&amp;isFromPublicArea=True&amp;isModal=true&amp;asPopupView=true</v>
      </c>
      <c r="T86" s="22" t="str">
        <f>IFERROR(_xlfn.LET(_xlpm.h,'[1]SECOP II'!$A$1:$CQ$1,_xlpm.d,'[1]SECOP II'!$A$2:$CQ$94,_xlpm.r,INDEX(_xlpm.d,0,MATCH("Referencia del Contrato",_xlpm.h,0)),INDEX(_xlpm.d,MATCH("CONTRATO 85 DE 2026",_xlpm.r,0),MATCH("Estado Contrato",_xlpm.h,0))),"")</f>
        <v>En ejecución</v>
      </c>
      <c r="U86" s="10" t="str">
        <f>[1]Contratos!C86</f>
        <v>PN</v>
      </c>
      <c r="V86" s="10" t="str">
        <f>[1]Contratos!I86</f>
        <v>PEDAGOGÍA REGULATORIA</v>
      </c>
      <c r="W86" s="23" t="str">
        <f>[1]Contratos!J86</f>
        <v>RICARDO RAMÍREZ</v>
      </c>
      <c r="X86" s="24" cm="1">
        <f t="array" ref="X86">IFERROR(VLOOKUP(W86,[1]COORD!$A$27:$B$67, 2, FALSE),[1]COORD!$B$27:$B$67)</f>
        <v>79444533</v>
      </c>
      <c r="Y86" s="25" t="s">
        <v>35</v>
      </c>
      <c r="Z86" s="26">
        <v>1022385102</v>
      </c>
      <c r="AA86" s="27" t="str" cm="1">
        <f t="array" ref="AA86">IF(Y86&lt;&gt;"NIT","N/A",IF(OR(Z86="",Z86="N/A"),"N/A",IF(ISERROR(VALUE(IF(ISNUMBER(FIND("-",TEXT(Z86,"@"))),LEFT(TEXT(Z86,"@"),FIND("-",TEXT(Z86,"@"))-1),TEXT(Z86,"@")))),"N/A",IF(MOD(SUMPRODUCT(VALUE(MID(TEXT(VALUE(IF(ISNUMBER(FIND("-",TEXT(Z86,"@"))),LEFT(TEXT(Z86,"@"),FIND("-",TEXT(Z86,"@"))-1),TEXT(Z86,"@"))),"000000000000000"),{15,14,13,12,11,10,9,8,7,6,5,4,3,2,1},1)),{3,7,13,17,19,23,29,37,41,43,47,53,59,67,71}),11)=0,0,IF(MOD(SUMPRODUCT(VALUE(MID(TEXT(VALUE(IF(ISNUMBER(FIND("-",TEXT(Z86,"@"))),LEFT(TEXT(Z86,"@"),FIND("-",TEXT(Z86,"@"))-1),TEXT(Z86,"@"))),"000000000000000"),{15,14,13,12,11,10,9,8,7,6,5,4,3,2,1},1)),{3,7,13,17,19,23,29,37,41,43,47,53,59,67,71}),11)=1,1,11-MOD(SUMPRODUCT(VALUE(MID(TEXT(VALUE(IF(ISNUMBER(FIND("-",TEXT(Z86,"@"))),LEFT(TEXT(Z86,"@"),FIND("-",TEXT(Z86,"@"))-1),TEXT(Z86,"@"))),"000000000000000"),{15,14,13,12,11,10,9,8,7,6,5,4,3,2,1},1)),{3,7,13,17,19,23,29,37,41,43,47,53,59,67,71}),11))))))</f>
        <v>N/A</v>
      </c>
      <c r="AB86" s="27">
        <v>83121703</v>
      </c>
      <c r="AC86" s="29" t="str">
        <f>[1]Contratos!Z86</f>
        <v>NO</v>
      </c>
      <c r="AD86" s="30">
        <f t="shared" si="7"/>
        <v>143</v>
      </c>
      <c r="AE86" s="31"/>
      <c r="AF86" s="31" t="str" cm="1">
        <f t="array" ref="AF86">IF(AG86="","",IFERROR(_xlfn.LET(_xlpm.x,INDEX([1]RP!$Z$2:$Z$706,MATCH(AG86&amp;"",[1]RP!$A$2:$A$706&amp;"",0)),IF(_xlpm.x="","",_xlpm.x)),""))</f>
        <v>17226</v>
      </c>
      <c r="AG86" s="31" cm="1">
        <f t="array" ref="AG86">IF(A86="","",IFERROR(_xlfn.LET(_xlpm.rp,[1]RP!$A$2:$A$706,_xlpm.dt,IFERROR(DATE(--LEFT([1]RP!$B$2:$B$706,4),--MID([1]RP!$B$2:$B$706,6,2),--MID([1]RP!$B$2:$B$706,9,2)),0),_xlpm.qid,UPPER(SUBSTITUTE(SUBSTITUTE(SUBSTITUTE(SUBSTITUTE([1]RP!$Q$2:$Q$706,".",""),"-","")," ",""),"O","0")),_xlpm.eid,UPPER(SUBSTITUTE(SUBSTITUTE(SUBSTITUTE(SUBSTITUTE(Z86,".",""),"-","")," ",""),"O","0")),_xlpm.qnm,UPPER(SUBSTITUTE(SUBSTITUTE(SUBSTITUTE(SUBSTITUTE(SUBSTITUTE([1]RP!$R$2:$R$706,".",""),"-","")," ",""),"Á","A"),"É","E")),_xlpm.enm,UPPER(SUBSTITUTE(SUBSTITUTE(SUBSTITUTE(SUBSTITUTE(SUBSTITUTE(B86,".",""),"-",""),"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86,"CONTRATO ")," DE")&amp;"/2026",_xlpm.dm,--ISNUMBER(SEARCH(_xlpm.num,_xlpm.sup)),_xlpm.dif,IF(_xlpm.ok,(1-_xlpm.dm)*1000000+IF(AND(ISNUMBER(M86),M86&gt;0),ABS(_xlpm.dt-M86),0),1E+99),_xlpm.md,MIN(_xlpm.dif),INDEX(_xlfn._xlws.FILTER(_xlpm.rp,(_xlpm.ok&gt;0)*(_xlpm.dif=_xlpm.md)),1)),""))</f>
        <v>28626</v>
      </c>
      <c r="AH86" s="32" cm="1">
        <f t="array" ref="AH86">IF(AF86="","",IFERROR(_xlfn.LET(_xlpm.x,INDEX([1]CDP!$B$2:$B$322,MATCH(AF86&amp;"",[1]CDP!$A$2:$A$322&amp;"",0)),IF(ISNUMBER(_xlpm.x),_xlpm.x,DATE(--LEFT(_xlpm.x,4),--MID(_xlpm.x,6,2),--MID(_xlpm.x,9,2)))),""))</f>
        <v>46233</v>
      </c>
    </row>
    <row r="87" spans="1:34" ht="72" customHeight="1" x14ac:dyDescent="0.35">
      <c r="A87" s="1" t="str">
        <f>[1]Contratos!A87</f>
        <v>CONTRATO 86 DE 2026</v>
      </c>
      <c r="B87" s="10" t="str">
        <f>[1]Contratos!B87</f>
        <v xml:space="preserve">STATISTA </v>
      </c>
      <c r="C87" s="10" t="str">
        <f>[1]Contratos!E87</f>
        <v>Contratación directa</v>
      </c>
      <c r="D87" s="10" t="s">
        <v>147</v>
      </c>
      <c r="E87" s="11" t="str">
        <f>[1]Contratos!F87</f>
        <v>Contratar la suscripción a la plataforma web de STATISTA (www.statista.com) que provee información global de indicadores y estadísticas sobre diferentes sectores de la economía. El objeto será ejecutado de acuerdo con las condiciones técnicas de acceso a la plataforma que STATISTA tiene de manera general para sus Usuarios y por tanto no se considera exclusiva para LA COMISIÓN</v>
      </c>
      <c r="F87" s="42">
        <f>[1]Procesos!F97</f>
        <v>161297800</v>
      </c>
      <c r="G87" s="13">
        <f>[1]Contratos!G87</f>
        <v>161297800</v>
      </c>
      <c r="H87" s="14" t="str">
        <f>IFERROR(VLOOKUP(A87, [1]Otrosí!A:F, 6, FALSE), "0")</f>
        <v>0</v>
      </c>
      <c r="I87" s="13">
        <f t="shared" si="4"/>
        <v>161297800</v>
      </c>
      <c r="J87" s="15">
        <f>IFERROR(_xlfn.LET(_xlpm.x,_xlfn.LET(_xlpm.n,--_xlfn.TEXTBEFORE(_xlfn.TEXTAFTER(A87,"CONTRATO ")," DE"),_xlpm.c,"CONTRATO "&amp;TEXT(_xlpm.n,"00")&amp;" DE 2026",_xlpm.h,'[1]SECOP II'!$A$1:$CQ$1,_xlpm.d,'[1]SECOP II'!$A$2:$CQ$94,_xlpm.r,INDEX(_xlpm.d,0,MATCH("Referencia del Contrato",_xlpm.h,0)),INDEX(_xlpm.d,MATCH(_xlpm.c,_xlpm.r,0),MATCH("Valor Pagado",_xlpm.h,0))),_xlfn.NUMBERVALUE(SUBSTITUTE(_xlpm.x,"$",""),".",",")),"")</f>
        <v>161297800</v>
      </c>
      <c r="K87" s="16">
        <f t="shared" si="5"/>
        <v>0</v>
      </c>
      <c r="L87" s="17">
        <f t="shared" si="6"/>
        <v>1</v>
      </c>
      <c r="M87" s="18">
        <f>[1]Contratos!O87</f>
        <v>46245</v>
      </c>
      <c r="N87" s="18">
        <f>[1]Contratos!P87</f>
        <v>46246</v>
      </c>
      <c r="O87" s="18">
        <f>[1]Contratos!Q87</f>
        <v>46610</v>
      </c>
      <c r="P87" s="18" t="str">
        <f>IFERROR(VLOOKUP(A87, [1]Otrosí!A:L, 7, FALSE), "N/A")</f>
        <v>N/A</v>
      </c>
      <c r="Q87" s="19" t="str">
        <f>IFERROR(_xlfn.LET(_xlpm.h,'[1]SECOP II'!$A$1:$CQ$1,_xlpm.d,'[1]SECOP II'!$A$2:$CQ$94,_xlpm.r,INDEX(_xlpm.d,0,MATCH("Referencia del Contrato",_xlpm.h,0)),INDEX(_xlpm.d,MATCH("CONTRATO 86 DE 2026",_xlpm.r,0),MATCH("Tipo de Contrato",_xlpm.h,0))),"")</f>
        <v>Prestación de servicios</v>
      </c>
      <c r="R87" s="20" t="str">
        <f>IFERROR(_xlfn.LET(_xlpm.n,--_xlfn.TEXTBEFORE(_xlfn.TEXTAFTER(A87,"CONTRATO ")," DE"),_xlpm.c,"CONTRATO "&amp;TEXT(_xlpm.n,"00")&amp;" DE 2026",_xlpm.h,'[1]SECOP II'!$A$1:$CQ$1,_xlpm.d,'[1]SECOP II'!$A$2:$CQ$94,_xlpm.r,INDEX(_xlpm.d,0,MATCH("Referencia del Contrato",_xlpm.h,0)),INDEX(_xlpm.d,MATCH(_xlpm.c,_xlpm.r,0),MATCH("Destino Gasto",_xlpm.h,0))),"")</f>
        <v>Inversión</v>
      </c>
      <c r="S87" s="34" t="str">
        <f>IFERROR(_xlfn.LET(_xlpm.n,--_xlfn.TEXTBEFORE(_xlfn.TEXTAFTER(A87,"CONTRATO ")," DE"),_xlpm.c,"CONTRATO "&amp;TEXT(_xlpm.n,"00")&amp;" DE 2026",_xlpm.h,'[1]SECOP II'!$A$1:$CQ$1,_xlpm.d,'[1]SECOP II'!$A$2:$CQ$94,_xlpm.r,INDEX(_xlpm.d,0,MATCH("Referencia del Contrato",_xlpm.h,0)),INDEX(_xlpm.d,MATCH(_xlpm.c,_xlpm.r,0),MATCH("URLProceso",_xlpm.h,0))),"")</f>
        <v>https://community.secop.gov.co/Public/Tendering/OpportunityDetail/Index?noticeUID=CO1.NTC.10685188&amp;isFromPublicArea=True&amp;isModal=true&amp;asPopupView=true</v>
      </c>
      <c r="T87" s="22" t="str">
        <f>IFERROR(_xlfn.LET(_xlpm.h,'[1]SECOP II'!$A$1:$CQ$1,_xlpm.d,'[1]SECOP II'!$A$2:$CQ$94,_xlpm.r,INDEX(_xlpm.d,0,MATCH("Referencia del Contrato",_xlpm.h,0)),INDEX(_xlpm.d,MATCH("CONTRATO 86 DE 2026",_xlpm.r,0),MATCH("Estado Contrato",_xlpm.h,0))),"")</f>
        <v>En ejecución</v>
      </c>
      <c r="U87" s="10" t="str">
        <f>[1]Contratos!C87</f>
        <v>PJ</v>
      </c>
      <c r="V87" s="10" t="str">
        <f>[1]Contratos!I87</f>
        <v>ANALÍTICA DE DATOS</v>
      </c>
      <c r="W87" s="23" t="str">
        <f>[1]Contratos!J87</f>
        <v>MIGUEL DURÁN</v>
      </c>
      <c r="X87" s="24" cm="1">
        <f t="array" ref="X87">IFERROR(VLOOKUP(W87,[1]COORD!$A$27:$B$67, 2, FALSE),[1]COORD!$B$27:$B$67)</f>
        <v>92541020</v>
      </c>
      <c r="Y87" s="25"/>
      <c r="Z87" s="35">
        <v>990367549</v>
      </c>
      <c r="AA87" s="27" cm="1">
        <f t="array" ref="AA87">IF(OR(Z87="",Z87="N/A"),"N/A",IF(ISERROR(VALUE(IF(ISNUMBER(FIND("-",TEXT(Z87,"@"))),LEFT(TEXT(Z87,"@"),FIND("-",TEXT(Z87,"@"))-1),TEXT(Z87,"@")))),"N/A",IF(MOD(SUMPRODUCT(VALUE(MID(TEXT(VALUE(IF(ISNUMBER(FIND("-",TEXT(Z87,"@"))),LEFT(TEXT(Z87,"@"),FIND("-",TEXT(Z87,"@"))-1),TEXT(Z87,"@"))),"000000000000000"),{15,14,13,12,11,10,9,8,7,6,5,4,3,2,1},1)),{3,7,13,17,19,23,29,37,41,43,47,53,59,67,71}),11)=0,0,IF(MOD(SUMPRODUCT(VALUE(MID(TEXT(VALUE(IF(ISNUMBER(FIND("-",TEXT(Z87,"@"))),LEFT(TEXT(Z87,"@"),FIND("-",TEXT(Z87,"@"))-1),TEXT(Z87,"@"))),"000000000000000"),{15,14,13,12,11,10,9,8,7,6,5,4,3,2,1},1)),{3,7,13,17,19,23,29,37,41,43,47,53,59,67,71}),11)=1,1,11-MOD(SUMPRODUCT(VALUE(MID(TEXT(VALUE(IF(ISNUMBER(FIND("-",TEXT(Z87,"@"))),LEFT(TEXT(Z87,"@"),FIND("-",TEXT(Z87,"@"))-1),TEXT(Z87,"@"))),"000000000000000"),{15,14,13,12,11,10,9,8,7,6,5,4,3,2,1},1)),{3,7,13,17,19,23,29,37,41,43,47,53,59,67,71}),11)))))</f>
        <v>9</v>
      </c>
      <c r="AB87" s="27">
        <v>81112106</v>
      </c>
      <c r="AC87" s="29" t="str">
        <f>[1]Contratos!Z87</f>
        <v>NO</v>
      </c>
      <c r="AD87" s="30">
        <f t="shared" si="7"/>
        <v>365</v>
      </c>
      <c r="AE87" s="31"/>
      <c r="AF87" s="31" t="str" cm="1">
        <f t="array" ref="AF87">IF(AG87="","",IFERROR(_xlfn.LET(_xlpm.x,INDEX([1]RP!$Z$2:$Z$706,MATCH(AG87&amp;"",[1]RP!$A$2:$A$706&amp;"",0)),IF(_xlpm.x="","",_xlpm.x)),""))</f>
        <v>17326</v>
      </c>
      <c r="AG87" s="31" cm="1">
        <f t="array" ref="AG87">IF(A87="","",IFERROR(_xlfn.LET(_xlpm.rp,[1]RP!$A$2:$A$706,_xlpm.dt,IFERROR(DATE(--LEFT([1]RP!$B$2:$B$706,4),--MID([1]RP!$B$2:$B$706,6,2),--MID([1]RP!$B$2:$B$706,9,2)),0),_xlpm.qid,UPPER(SUBSTITUTE(SUBSTITUTE(SUBSTITUTE(SUBSTITUTE([1]RP!$Q$2:$Q$706,".",""),"-","")," ",""),"O","0")),_xlpm.eid,UPPER(SUBSTITUTE(SUBSTITUTE(SUBSTITUTE(SUBSTITUTE(Z87,".",""),"-","")," ",""),"O","0")),_xlpm.qnm,UPPER(SUBSTITUTE(SUBSTITUTE(SUBSTITUTE(SUBSTITUTE(SUBSTITUTE([1]RP!$R$2:$R$706,".",""),"-","")," ",""),"Á","A"),"É","E")),_xlpm.enm,UPPER(SUBSTITUTE(SUBSTITUTE(SUBSTITUTE(SUBSTITUTE(SUBSTITUTE(B87,".",""),"-",""),"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87,"CONTRATO ")," DE")&amp;"/2026",_xlpm.dm,--ISNUMBER(SEARCH(_xlpm.num,_xlpm.sup)),_xlpm.dif,IF(_xlpm.ok,(1-_xlpm.dm)*1000000+IF(AND(ISNUMBER(M87),M87&gt;0),ABS(_xlpm.dt-M87),0),1E+99),_xlpm.md,MIN(_xlpm.dif),INDEX(_xlfn._xlws.FILTER(_xlpm.rp,(_xlpm.ok&gt;0)*(_xlpm.dif=_xlpm.md)),1)),""))</f>
        <v>29526</v>
      </c>
      <c r="AH87" s="32" cm="1">
        <f t="array" ref="AH87">IF(AF87="","",IFERROR(_xlfn.LET(_xlpm.x,INDEX([1]CDP!$B$2:$B$322,MATCH(AF87&amp;"",[1]CDP!$A$2:$A$322&amp;"",0)),IF(ISNUMBER(_xlpm.x),_xlpm.x,DATE(--LEFT(_xlpm.x,4),--MID(_xlpm.x,6,2),--MID(_xlpm.x,9,2)))),""))</f>
        <v>46233</v>
      </c>
    </row>
    <row r="88" spans="1:34" ht="137.5" x14ac:dyDescent="0.35">
      <c r="A88" s="1" t="str">
        <f>[1]Contratos!A88</f>
        <v>CONTRATO 87 DE 2026</v>
      </c>
      <c r="B88" s="10" t="str">
        <f>[1]Contratos!B88</f>
        <v>WEXLER</v>
      </c>
      <c r="C88" s="10" t="str">
        <f>[1]Contratos!E88</f>
        <v>Selección Abreviada de Menor Cuantía</v>
      </c>
      <c r="D88" s="10" t="s">
        <v>148</v>
      </c>
      <c r="E88" s="11" t="str">
        <f>[1]Contratos!F88</f>
        <v>la Renovación de las licencias y los servicios de soporte técnico especializado por un (1) año, que incluya el fortalecimiento, la configuración, parametrización, optimización y apoyo a la gestión de los equipos de comunicaciones y de seguridad perimetral, requeridas para garantizar la operación de la infraestructura híbrida y a los usuarios finales de la Entidad; así como el suministro e instalación de nuevos Access Point con su respectivo licenciamiento y soporte, la migración a la solución de detección y respuesta extendida (XDR) y la implementación de suscripción de seguridad SaaS para correo electrónico</v>
      </c>
      <c r="F88" s="42">
        <f>[1]Procesos!F83</f>
        <v>432964768</v>
      </c>
      <c r="G88" s="13">
        <f>[1]Contratos!G88</f>
        <v>431121316</v>
      </c>
      <c r="H88" s="14" t="str">
        <f>IFERROR(VLOOKUP(A88, [1]Otrosí!A:F, 6, FALSE), "0")</f>
        <v>0</v>
      </c>
      <c r="I88" s="13">
        <f t="shared" si="4"/>
        <v>431121316</v>
      </c>
      <c r="J88" s="15">
        <f>IFERROR(_xlfn.LET(_xlpm.x,_xlfn.LET(_xlpm.n,--_xlfn.TEXTBEFORE(_xlfn.TEXTAFTER(A88,"CONTRATO ")," DE"),_xlpm.c,"CONTRATO "&amp;TEXT(_xlpm.n,"00")&amp;" DE 2026",_xlpm.h,'[1]SECOP II'!$A$1:$CQ$1,_xlpm.d,'[1]SECOP II'!$A$2:$CQ$94,_xlpm.r,INDEX(_xlpm.d,0,MATCH("Referencia del Contrato",_xlpm.h,0)),INDEX(_xlpm.d,MATCH(_xlpm.c,_xlpm.r,0),MATCH("Valor Pagado",_xlpm.h,0))),_xlfn.NUMBERVALUE(SUBSTITUTE(_xlpm.x,"$",""),".",",")),"")</f>
        <v>0</v>
      </c>
      <c r="K88" s="16">
        <f t="shared" si="5"/>
        <v>431121316</v>
      </c>
      <c r="L88" s="17">
        <f t="shared" si="6"/>
        <v>0</v>
      </c>
      <c r="M88" s="18">
        <f>[1]Contratos!O88</f>
        <v>46239</v>
      </c>
      <c r="N88" s="18">
        <f>[1]Contratos!P88</f>
        <v>46252</v>
      </c>
      <c r="O88" s="18">
        <f>[1]Contratos!Q88</f>
        <v>46661</v>
      </c>
      <c r="P88" s="18" t="str">
        <f>IFERROR(VLOOKUP(A88, [1]Otrosí!A:L, 7, FALSE), "N/A")</f>
        <v>N/A</v>
      </c>
      <c r="Q88" s="19" t="str">
        <f>IFERROR(_xlfn.LET(_xlpm.h,'[1]SECOP II'!$A$1:$CQ$1,_xlpm.d,'[1]SECOP II'!$A$2:$CQ$94,_xlpm.r,INDEX(_xlpm.d,0,MATCH("Referencia del Contrato",_xlpm.h,0)),INDEX(_xlpm.d,MATCH("CONTRATO 87 DE 2026",_xlpm.r,0),MATCH("Tipo de Contrato",_xlpm.h,0))),"")</f>
        <v>Prestación de servicios</v>
      </c>
      <c r="R88" s="20" t="str">
        <f>IFERROR(_xlfn.LET(_xlpm.n,--_xlfn.TEXTBEFORE(_xlfn.TEXTAFTER(A88,"CONTRATO ")," DE"),_xlpm.c,"CONTRATO "&amp;TEXT(_xlpm.n,"00")&amp;" DE 2026",_xlpm.h,'[1]SECOP II'!$A$1:$CQ$1,_xlpm.d,'[1]SECOP II'!$A$2:$CQ$94,_xlpm.r,INDEX(_xlpm.d,0,MATCH("Referencia del Contrato",_xlpm.h,0)),INDEX(_xlpm.d,MATCH(_xlpm.c,_xlpm.r,0),MATCH("Destino Gasto",_xlpm.h,0))),"")</f>
        <v>Inversión</v>
      </c>
      <c r="S88" s="34" t="str">
        <f>IFERROR(_xlfn.LET(_xlpm.n,--_xlfn.TEXTBEFORE(_xlfn.TEXTAFTER(A88,"CONTRATO ")," DE"),_xlpm.c,"CONTRATO "&amp;TEXT(_xlpm.n,"00")&amp;" DE 2026",_xlpm.h,'[1]SECOP II'!$A$1:$CQ$1,_xlpm.d,'[1]SECOP II'!$A$2:$CQ$94,_xlpm.r,INDEX(_xlpm.d,0,MATCH("Referencia del Contrato",_xlpm.h,0)),INDEX(_xlpm.d,MATCH(_xlpm.c,_xlpm.r,0),MATCH("URLProceso",_xlpm.h,0))),"")</f>
        <v>https://community.secop.gov.co/Public/Tendering/OpportunityDetail/Index?noticeUID=CO1.NTC.10473469&amp;isFromPublicArea=True&amp;isModal=true&amp;asPopupView=true</v>
      </c>
      <c r="T88" s="22" t="str">
        <f>IFERROR(_xlfn.LET(_xlpm.h,'[1]SECOP II'!$A$1:$CQ$1,_xlpm.d,'[1]SECOP II'!$A$2:$CQ$94,_xlpm.r,INDEX(_xlpm.d,0,MATCH("Referencia del Contrato",_xlpm.h,0)),INDEX(_xlpm.d,MATCH("CONTRATO 87 DE 2026",_xlpm.r,0),MATCH("Estado Contrato",_xlpm.h,0))),"")</f>
        <v>En ejecución</v>
      </c>
      <c r="U88" s="10" t="str">
        <f>[1]Contratos!C88</f>
        <v>PJ</v>
      </c>
      <c r="V88" s="10" t="str">
        <f>[1]Contratos!I88</f>
        <v>TECNOLOGÍAS Y SIST. DE INF.</v>
      </c>
      <c r="W88" s="23" t="str">
        <f>[1]Contratos!J88</f>
        <v>EDUIN CRUZ</v>
      </c>
      <c r="X88" s="24" cm="1">
        <f t="array" ref="X88">IFERROR(VLOOKUP(W88,[1]COORD!$A$27:$B$67, 2, FALSE),[1]COORD!$B$27:$B$67)</f>
        <v>11445828</v>
      </c>
      <c r="Y88" s="25" t="s">
        <v>57</v>
      </c>
      <c r="Z88" s="26">
        <v>900390198</v>
      </c>
      <c r="AA88" s="27" cm="1">
        <f t="array" ref="AA88">IF(OR(Z88="",Z88="N/A"),"N/A",IF(ISERROR(VALUE(IF(ISNUMBER(FIND("-",TEXT(Z88,"@"))),LEFT(TEXT(Z88,"@"),FIND("-",TEXT(Z88,"@"))-1),TEXT(Z88,"@")))),"N/A",IF(MOD(SUMPRODUCT(VALUE(MID(TEXT(VALUE(IF(ISNUMBER(FIND("-",TEXT(Z88,"@"))),LEFT(TEXT(Z88,"@"),FIND("-",TEXT(Z88,"@"))-1),TEXT(Z88,"@"))),"000000000000000"),{15,14,13,12,11,10,9,8,7,6,5,4,3,2,1},1)),{3,7,13,17,19,23,29,37,41,43,47,53,59,67,71}),11)=0,0,IF(MOD(SUMPRODUCT(VALUE(MID(TEXT(VALUE(IF(ISNUMBER(FIND("-",TEXT(Z88,"@"))),LEFT(TEXT(Z88,"@"),FIND("-",TEXT(Z88,"@"))-1),TEXT(Z88,"@"))),"000000000000000"),{15,14,13,12,11,10,9,8,7,6,5,4,3,2,1},1)),{3,7,13,17,19,23,29,37,41,43,47,53,59,67,71}),11)=1,1,11-MOD(SUMPRODUCT(VALUE(MID(TEXT(VALUE(IF(ISNUMBER(FIND("-",TEXT(Z88,"@"))),LEFT(TEXT(Z88,"@"),FIND("-",TEXT(Z88,"@"))-1),TEXT(Z88,"@"))),"000000000000000"),{15,14,13,12,11,10,9,8,7,6,5,4,3,2,1},1)),{3,7,13,17,19,23,29,37,41,43,47,53,59,67,71}),11)))))</f>
        <v>6</v>
      </c>
      <c r="AB88" s="27">
        <v>43222501</v>
      </c>
      <c r="AC88" s="29" t="str">
        <f>[1]Contratos!Z88</f>
        <v>NO</v>
      </c>
      <c r="AD88" s="30">
        <f t="shared" si="7"/>
        <v>422</v>
      </c>
      <c r="AE88" s="31"/>
      <c r="AF88" s="31" t="str" cm="1">
        <f t="array" ref="AF88">IF(AG88="","",IFERROR(_xlfn.LET(_xlpm.x,INDEX([1]RP!$Z$2:$Z$706,MATCH(AG88&amp;"",[1]RP!$A$2:$A$706&amp;"",0)),IF(_xlpm.x="","",_xlpm.x)),""))</f>
        <v>14826</v>
      </c>
      <c r="AG88" s="31" cm="1">
        <f t="array" ref="AG88">IF(A88="","",IFERROR(_xlfn.LET(_xlpm.rp,[1]RP!$A$2:$A$706,_xlpm.dt,IFERROR(DATE(--LEFT([1]RP!$B$2:$B$706,4),--MID([1]RP!$B$2:$B$706,6,2),--MID([1]RP!$B$2:$B$706,9,2)),0),_xlpm.qid,UPPER(SUBSTITUTE(SUBSTITUTE(SUBSTITUTE(SUBSTITUTE([1]RP!$Q$2:$Q$706,".",""),"-","")," ",""),"O","0")),_xlpm.eid,UPPER(SUBSTITUTE(SUBSTITUTE(SUBSTITUTE(SUBSTITUTE(Z88,".",""),"-","")," ",""),"O","0")),_xlpm.qnm,UPPER(SUBSTITUTE(SUBSTITUTE(SUBSTITUTE(SUBSTITUTE(SUBSTITUTE([1]RP!$R$2:$R$706,".",""),"-","")," ",""),"Á","A"),"É","E")),_xlpm.enm,UPPER(SUBSTITUTE(SUBSTITUTE(SUBSTITUTE(SUBSTITUTE(SUBSTITUTE(B88,".",""),"-",""),"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88,"CONTRATO ")," DE")&amp;"/2026",_xlpm.dm,--ISNUMBER(SEARCH(_xlpm.num,_xlpm.sup)),_xlpm.dif,IF(_xlpm.ok,(1-_xlpm.dm)*1000000+IF(AND(ISNUMBER(M88),M88&gt;0),ABS(_xlpm.dt-M88),0),1E+99),_xlpm.md,MIN(_xlpm.dif),INDEX(_xlfn._xlws.FILTER(_xlpm.rp,(_xlpm.ok&gt;0)*(_xlpm.dif=_xlpm.md)),1)),""))</f>
        <v>28926</v>
      </c>
      <c r="AH88" s="32" cm="1">
        <f t="array" ref="AH88">IF(AF88="","",IFERROR(_xlfn.LET(_xlpm.x,INDEX([1]CDP!$B$2:$B$322,MATCH(AF88&amp;"",[1]CDP!$A$2:$A$322&amp;"",0)),IF(ISNUMBER(_xlpm.x),_xlpm.x,DATE(--LEFT(_xlpm.x,4),--MID(_xlpm.x,6,2),--MID(_xlpm.x,9,2)))),""))</f>
        <v>46184</v>
      </c>
    </row>
    <row r="89" spans="1:34" ht="72.5" x14ac:dyDescent="0.35">
      <c r="A89" s="1" t="str">
        <f>[1]Contratos!A89</f>
        <v>CONTRATO 88 DE 2026</v>
      </c>
      <c r="B89" s="10" t="str">
        <f>[1]Contratos!B89</f>
        <v>CENTRO CAR 19 LTDA</v>
      </c>
      <c r="C89" s="10" t="str">
        <f>[1]Contratos!E89</f>
        <v>Mínima cuantía</v>
      </c>
      <c r="D89" s="10" t="s">
        <v>149</v>
      </c>
      <c r="E89" s="11" t="str">
        <f>[1]Contratos!F89</f>
        <v>Mantenimiento preventivo y correctivo para los vehículos de la Comisión de Regulación
de Comunicaciones, incluyendo mano de obra, suministro de repuestos originales nuevos y otros
servicios</v>
      </c>
      <c r="F89" s="42">
        <f>[1]Procesos!F85</f>
        <v>9987981</v>
      </c>
      <c r="G89" s="13">
        <f>[1]Contratos!G89</f>
        <v>9987981</v>
      </c>
      <c r="H89" s="14" t="str">
        <f>IFERROR(VLOOKUP(A89, [1]Otrosí!A:F, 6, FALSE), "0")</f>
        <v>0</v>
      </c>
      <c r="I89" s="13">
        <f t="shared" si="4"/>
        <v>9987981</v>
      </c>
      <c r="J89" s="15">
        <f>IFERROR(_xlfn.LET(_xlpm.x,_xlfn.LET(_xlpm.n,--_xlfn.TEXTBEFORE(_xlfn.TEXTAFTER(A89,"CONTRATO ")," DE"),_xlpm.c,"CONTRATO "&amp;TEXT(_xlpm.n,"00")&amp;" DE 2026",_xlpm.h,'[1]SECOP II'!$A$1:$CQ$1,_xlpm.d,'[1]SECOP II'!$A$2:$CQ$94,_xlpm.r,INDEX(_xlpm.d,0,MATCH("Referencia del Contrato",_xlpm.h,0)),INDEX(_xlpm.d,MATCH(_xlpm.c,_xlpm.r,0),MATCH("Valor Pagado",_xlpm.h,0))),_xlfn.NUMBERVALUE(SUBSTITUTE(_xlpm.x,"$",""),".",",")),"")</f>
        <v>0</v>
      </c>
      <c r="K89" s="16">
        <f t="shared" si="5"/>
        <v>9987981</v>
      </c>
      <c r="L89" s="17">
        <f t="shared" si="6"/>
        <v>0</v>
      </c>
      <c r="M89" s="18">
        <f>[1]Contratos!O89</f>
        <v>46239</v>
      </c>
      <c r="N89" s="18">
        <f>[1]Contratos!P89</f>
        <v>46254</v>
      </c>
      <c r="O89" s="18">
        <f>[1]Contratos!Q89</f>
        <v>46387</v>
      </c>
      <c r="P89" s="18" t="str">
        <f>IFERROR(VLOOKUP(A89, [1]Otrosí!A:L, 7, FALSE), "N/A")</f>
        <v>N/A</v>
      </c>
      <c r="Q89" s="19" t="str">
        <f>IFERROR(_xlfn.LET(_xlpm.h,'[1]SECOP II'!$A$1:$CQ$1,_xlpm.d,'[1]SECOP II'!$A$2:$CQ$94,_xlpm.r,INDEX(_xlpm.d,0,MATCH("Referencia del Contrato",_xlpm.h,0)),INDEX(_xlpm.d,MATCH("CONTRATO 88 DE 2026",_xlpm.r,0),MATCH("Tipo de Contrato",_xlpm.h,0))),"")</f>
        <v>Prestación de servicios</v>
      </c>
      <c r="R89" s="20" t="str">
        <f>IFERROR(_xlfn.LET(_xlpm.n,--_xlfn.TEXTBEFORE(_xlfn.TEXTAFTER(A89,"CONTRATO ")," DE"),_xlpm.c,"CONTRATO "&amp;TEXT(_xlpm.n,"00")&amp;" DE 2026",_xlpm.h,'[1]SECOP II'!$A$1:$CQ$1,_xlpm.d,'[1]SECOP II'!$A$2:$CQ$94,_xlpm.r,INDEX(_xlpm.d,0,MATCH("Referencia del Contrato",_xlpm.h,0)),INDEX(_xlpm.d,MATCH(_xlpm.c,_xlpm.r,0),MATCH("Destino Gasto",_xlpm.h,0))),"")</f>
        <v>Funcionamiento</v>
      </c>
      <c r="S89" s="34" t="str">
        <f>IFERROR(_xlfn.LET(_xlpm.n,--_xlfn.TEXTBEFORE(_xlfn.TEXTAFTER(A89,"CONTRATO ")," DE"),_xlpm.c,"CONTRATO "&amp;TEXT(_xlpm.n,"00")&amp;" DE 2026",_xlpm.h,'[1]SECOP II'!$A$1:$CQ$1,_xlpm.d,'[1]SECOP II'!$A$2:$CQ$94,_xlpm.r,INDEX(_xlpm.d,0,MATCH("Referencia del Contrato",_xlpm.h,0)),INDEX(_xlpm.d,MATCH(_xlpm.c,_xlpm.r,0),MATCH("URLProceso",_xlpm.h,0))),"")</f>
        <v>https://community.secop.gov.co/Public/Tendering/OpportunityDetail/Index?noticeUID=CO1.NTC.10451115&amp;isFromPublicArea=True&amp;isModal=true&amp;asPopupView=true</v>
      </c>
      <c r="T89" s="22" t="str">
        <f>IFERROR(_xlfn.LET(_xlpm.h,'[1]SECOP II'!$A$1:$CQ$1,_xlpm.d,'[1]SECOP II'!$A$2:$CQ$94,_xlpm.r,INDEX(_xlpm.d,0,MATCH("Referencia del Contrato",_xlpm.h,0)),INDEX(_xlpm.d,MATCH("CONTRATO 88 DE 2026",_xlpm.r,0),MATCH("Estado Contrato",_xlpm.h,0))),"")</f>
        <v>En ejecución</v>
      </c>
      <c r="U89" s="10" t="str">
        <f>[1]Contratos!C89</f>
        <v>PJ</v>
      </c>
      <c r="V89" s="10" t="str">
        <f>[1]Contratos!I89</f>
        <v>GESTIÓN ADM. Y FIN</v>
      </c>
      <c r="W89" s="23" t="str">
        <f>[1]Contratos!J89</f>
        <v>DIANA WILCHES</v>
      </c>
      <c r="X89" s="24" cm="1">
        <f t="array" ref="X89">IFERROR(VLOOKUP(W89,[1]COORD!$A$27:$B$67, 2, FALSE),[1]COORD!$B$27:$B$67)</f>
        <v>40049758</v>
      </c>
      <c r="Y89" s="25" t="s">
        <v>57</v>
      </c>
      <c r="Z89" s="26">
        <v>800250589</v>
      </c>
      <c r="AA89" s="27" cm="1">
        <f t="array" ref="AA89">IF(OR(Z89="",Z89="N/A"),"N/A",IF(ISERROR(VALUE(IF(ISNUMBER(FIND("-",TEXT(Z89,"@"))),LEFT(TEXT(Z89,"@"),FIND("-",TEXT(Z89,"@"))-1),TEXT(Z89,"@")))),"N/A",IF(MOD(SUMPRODUCT(VALUE(MID(TEXT(VALUE(IF(ISNUMBER(FIND("-",TEXT(Z89,"@"))),LEFT(TEXT(Z89,"@"),FIND("-",TEXT(Z89,"@"))-1),TEXT(Z89,"@"))),"000000000000000"),{15,14,13,12,11,10,9,8,7,6,5,4,3,2,1},1)),{3,7,13,17,19,23,29,37,41,43,47,53,59,67,71}),11)=0,0,IF(MOD(SUMPRODUCT(VALUE(MID(TEXT(VALUE(IF(ISNUMBER(FIND("-",TEXT(Z89,"@"))),LEFT(TEXT(Z89,"@"),FIND("-",TEXT(Z89,"@"))-1),TEXT(Z89,"@"))),"000000000000000"),{15,14,13,12,11,10,9,8,7,6,5,4,3,2,1},1)),{3,7,13,17,19,23,29,37,41,43,47,53,59,67,71}),11)=1,1,11-MOD(SUMPRODUCT(VALUE(MID(TEXT(VALUE(IF(ISNUMBER(FIND("-",TEXT(Z89,"@"))),LEFT(TEXT(Z89,"@"),FIND("-",TEXT(Z89,"@"))-1),TEXT(Z89,"@"))),"000000000000000"),{15,14,13,12,11,10,9,8,7,6,5,4,3,2,1},1)),{3,7,13,17,19,23,29,37,41,43,47,53,59,67,71}),11)))))</f>
        <v>1</v>
      </c>
      <c r="AB89" s="27">
        <v>78181501</v>
      </c>
      <c r="AC89" s="29" t="str">
        <f>[1]Contratos!Z89</f>
        <v>N/A</v>
      </c>
      <c r="AD89" s="30">
        <f t="shared" si="7"/>
        <v>148</v>
      </c>
      <c r="AE89" s="31"/>
      <c r="AF89" s="31" t="str" cm="1">
        <f t="array" ref="AF89">IF(AG89="","",IFERROR(_xlfn.LET(_xlpm.x,INDEX([1]RP!$Z$2:$Z$706,MATCH(AG89&amp;"",[1]RP!$A$2:$A$706&amp;"",0)),IF(_xlpm.x="","",_xlpm.x)),""))</f>
        <v>9326</v>
      </c>
      <c r="AG89" s="31" cm="1">
        <f t="array" ref="AG89">IF(A89="","",IFERROR(_xlfn.LET(_xlpm.rp,[1]RP!$A$2:$A$706,_xlpm.dt,IFERROR(DATE(--LEFT([1]RP!$B$2:$B$706,4),--MID([1]RP!$B$2:$B$706,6,2),--MID([1]RP!$B$2:$B$706,9,2)),0),_xlpm.qid,UPPER(SUBSTITUTE(SUBSTITUTE(SUBSTITUTE(SUBSTITUTE([1]RP!$Q$2:$Q$706,".",""),"-","")," ",""),"O","0")),_xlpm.eid,UPPER(SUBSTITUTE(SUBSTITUTE(SUBSTITUTE(SUBSTITUTE(Z89,".",""),"-","")," ",""),"O","0")),_xlpm.qnm,UPPER(SUBSTITUTE(SUBSTITUTE(SUBSTITUTE(SUBSTITUTE(SUBSTITUTE([1]RP!$R$2:$R$706,".",""),"-","")," ",""),"Á","A"),"É","E")),_xlpm.enm,UPPER(SUBSTITUTE(SUBSTITUTE(SUBSTITUTE(SUBSTITUTE(SUBSTITUTE(B89,".",""),"-",""),"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89,"CONTRATO ")," DE")&amp;"/2026",_xlpm.dm,--ISNUMBER(SEARCH(_xlpm.num,_xlpm.sup)),_xlpm.dif,IF(_xlpm.ok,(1-_xlpm.dm)*1000000+IF(AND(ISNUMBER(M89),M89&gt;0),ABS(_xlpm.dt-M89),0),1E+99),_xlpm.md,MIN(_xlpm.dif),INDEX(_xlfn._xlws.FILTER(_xlpm.rp,(_xlpm.ok&gt;0)*(_xlpm.dif=_xlpm.md)),1)),""))</f>
        <v>28826</v>
      </c>
      <c r="AH89" s="32" cm="1">
        <f t="array" ref="AH89">IF(AF89="","",IFERROR(_xlfn.LET(_xlpm.x,INDEX([1]CDP!$B$2:$B$322,MATCH(AF89&amp;"",[1]CDP!$A$2:$A$322&amp;"",0)),IF(ISNUMBER(_xlpm.x),_xlpm.x,DATE(--LEFT(_xlpm.x,4),--MID(_xlpm.x,6,2),--MID(_xlpm.x,9,2)))),""))</f>
        <v>46076</v>
      </c>
    </row>
    <row r="90" spans="1:34" ht="100" x14ac:dyDescent="0.35">
      <c r="A90" s="1" t="str">
        <f>[1]Contratos!A90</f>
        <v>CONTRATO 89 DE 2026</v>
      </c>
      <c r="B90" s="10" t="str">
        <f>[1]Contratos!B90</f>
        <v>SANDRA ALVAREZ</v>
      </c>
      <c r="C90" s="10" t="s">
        <v>150</v>
      </c>
      <c r="D90" s="10" t="s">
        <v>151</v>
      </c>
      <c r="E90" s="11" t="str">
        <f>[1]Contratos!F90</f>
        <v>Prestar servicios profesionales para apoyar la identificación y documentación de los tipos de violencias digitales y las rutas institucionales de atención, así como para el desarrollo del componente conceptual, pedagógico y de contenidos del curso virtual sobre Violencias Digitales Basadas en Género (VDBG) mediadas por Inteligencia Artificial, bajo enfoques de derechos humanos e interseccionalidad</v>
      </c>
      <c r="F90" s="42">
        <f>[1]Procesos!F96</f>
        <v>30000000</v>
      </c>
      <c r="G90" s="13">
        <f>[1]Contratos!G90</f>
        <v>30000000</v>
      </c>
      <c r="H90" s="14" t="str">
        <f>IFERROR(VLOOKUP(A90, [1]Otrosí!A:F, 6, FALSE), "0")</f>
        <v>0</v>
      </c>
      <c r="I90" s="13">
        <f t="shared" si="4"/>
        <v>30000000</v>
      </c>
      <c r="J90" s="15">
        <f>IFERROR(_xlfn.LET(_xlpm.x,_xlfn.LET(_xlpm.n,--_xlfn.TEXTBEFORE(_xlfn.TEXTAFTER(A90,"CONTRATO ")," DE"),_xlpm.c,"CONTRATO "&amp;TEXT(_xlpm.n,"00")&amp;" DE 2026",_xlpm.h,'[1]SECOP II'!$A$1:$CQ$1,_xlpm.d,'[1]SECOP II'!$A$2:$CQ$94,_xlpm.r,INDEX(_xlpm.d,0,MATCH("Referencia del Contrato",_xlpm.h,0)),INDEX(_xlpm.d,MATCH(_xlpm.c,_xlpm.r,0),MATCH("Valor Pagado",_xlpm.h,0))),_xlfn.NUMBERVALUE(SUBSTITUTE(_xlpm.x,"$",""),".",",")),"")</f>
        <v>10000000</v>
      </c>
      <c r="K90" s="16">
        <f t="shared" si="5"/>
        <v>20000000</v>
      </c>
      <c r="L90" s="17">
        <f t="shared" si="6"/>
        <v>0.33333333333333331</v>
      </c>
      <c r="M90" s="18">
        <f>[1]Contratos!O90</f>
        <v>46245</v>
      </c>
      <c r="N90" s="18">
        <f>[1]Contratos!P90</f>
        <v>46246</v>
      </c>
      <c r="O90" s="18">
        <f>[1]Contratos!Q90</f>
        <v>46338</v>
      </c>
      <c r="P90" s="18" t="str">
        <f>IFERROR(VLOOKUP(A90, [1]Otrosí!A:L, 7, FALSE), "N/A")</f>
        <v>N/A</v>
      </c>
      <c r="Q90" s="19" t="str">
        <f>IFERROR(_xlfn.LET(_xlpm.h,'[1]SECOP II'!$A$1:$CQ$1,_xlpm.d,'[1]SECOP II'!$A$2:$CQ$94,_xlpm.r,INDEX(_xlpm.d,0,MATCH("Referencia del Contrato",_xlpm.h,0)),INDEX(_xlpm.d,MATCH("CONTRATO 89 DE 2026",_xlpm.r,0),MATCH("Tipo de Contrato",_xlpm.h,0))),"")</f>
        <v>Prestación de servicios</v>
      </c>
      <c r="R90" s="20" t="str">
        <f>IFERROR(_xlfn.LET(_xlpm.n,--_xlfn.TEXTBEFORE(_xlfn.TEXTAFTER(A90,"CONTRATO ")," DE"),_xlpm.c,"CONTRATO "&amp;TEXT(_xlpm.n,"00")&amp;" DE 2026",_xlpm.h,'[1]SECOP II'!$A$1:$CQ$1,_xlpm.d,'[1]SECOP II'!$A$2:$CQ$94,_xlpm.r,INDEX(_xlpm.d,0,MATCH("Referencia del Contrato",_xlpm.h,0)),INDEX(_xlpm.d,MATCH(_xlpm.c,_xlpm.r,0),MATCH("Destino Gasto",_xlpm.h,0))),"")</f>
        <v>Inversión</v>
      </c>
      <c r="S90" s="21" t="str">
        <f>IFERROR(_xlfn.LET(_xlpm.n,--_xlfn.TEXTBEFORE(_xlfn.TEXTAFTER(A90,"CONTRATO ")," DE"),_xlpm.c,"CONTRATO "&amp;TEXT(_xlpm.n,"00")&amp;" DE 2026",_xlpm.h,'[1]SECOP II'!$A$1:$CQ$1,_xlpm.d,'[1]SECOP II'!$A$2:$CQ$94,_xlpm.r,INDEX(_xlpm.d,0,MATCH("Referencia del Contrato",_xlpm.h,0)),INDEX(_xlpm.d,MATCH(_xlpm.c,_xlpm.r,0),MATCH("URLProceso",_xlpm.h,0))),"")</f>
        <v>https://community.secop.gov.co/Public/Tendering/OpportunityDetail/Index?noticeUID=CO1.NTC.10667686&amp;isFromPublicArea=True&amp;isModal=true&amp;asPopupView=true</v>
      </c>
      <c r="T90" s="22" t="str">
        <f>IFERROR(_xlfn.LET(_xlpm.h,'[1]SECOP II'!$A$1:$CQ$1,_xlpm.d,'[1]SECOP II'!$A$2:$CQ$94,_xlpm.r,INDEX(_xlpm.d,0,MATCH("Referencia del Contrato",_xlpm.h,0)),INDEX(_xlpm.d,MATCH("CONTRATO 89 DE 2026",_xlpm.r,0),MATCH("Estado Contrato",_xlpm.h,0))),"")</f>
        <v>En ejecución</v>
      </c>
      <c r="U90" s="10" t="str">
        <f>[1]Contratos!C90</f>
        <v>PN</v>
      </c>
      <c r="V90" s="10" t="str">
        <f>[1]Contratos!I90</f>
        <v>PEDAGOGÍA REGULATORIA</v>
      </c>
      <c r="W90" s="23" t="str">
        <f>[1]Contratos!J90</f>
        <v>RICARDO RAMÍREZ</v>
      </c>
      <c r="X90" s="24" cm="1">
        <f t="array" ref="X90">IFERROR(VLOOKUP(W90,[1]COORD!$A$27:$B$67, 2, FALSE),[1]COORD!$B$27:$B$67)</f>
        <v>79444533</v>
      </c>
      <c r="Y90" s="25" t="s">
        <v>35</v>
      </c>
      <c r="Z90" s="26">
        <v>43983829</v>
      </c>
      <c r="AA90" s="27" t="str" cm="1">
        <f t="array" ref="AA90">IF(Y90&lt;&gt;"NIT","N/A",IF(OR(Z90="",Z90="N/A"),"N/A",IF(ISERROR(VALUE(IF(ISNUMBER(FIND("-",TEXT(Z90,"@"))),LEFT(TEXT(Z90,"@"),FIND("-",TEXT(Z90,"@"))-1),TEXT(Z90,"@")))),"N/A",IF(MOD(SUMPRODUCT(VALUE(MID(TEXT(VALUE(IF(ISNUMBER(FIND("-",TEXT(Z90,"@"))),LEFT(TEXT(Z90,"@"),FIND("-",TEXT(Z90,"@"))-1),TEXT(Z90,"@"))),"000000000000000"),{15,14,13,12,11,10,9,8,7,6,5,4,3,2,1},1)),{3,7,13,17,19,23,29,37,41,43,47,53,59,67,71}),11)=0,0,IF(MOD(SUMPRODUCT(VALUE(MID(TEXT(VALUE(IF(ISNUMBER(FIND("-",TEXT(Z90,"@"))),LEFT(TEXT(Z90,"@"),FIND("-",TEXT(Z90,"@"))-1),TEXT(Z90,"@"))),"000000000000000"),{15,14,13,12,11,10,9,8,7,6,5,4,3,2,1},1)),{3,7,13,17,19,23,29,37,41,43,47,53,59,67,71}),11)=1,1,11-MOD(SUMPRODUCT(VALUE(MID(TEXT(VALUE(IF(ISNUMBER(FIND("-",TEXT(Z90,"@"))),LEFT(TEXT(Z90,"@"),FIND("-",TEXT(Z90,"@"))-1),TEXT(Z90,"@"))),"000000000000000"),{15,14,13,12,11,10,9,8,7,6,5,4,3,2,1},1)),{3,7,13,17,19,23,29,37,41,43,47,53,59,67,71}),11))))))</f>
        <v>N/A</v>
      </c>
      <c r="AB90" s="27">
        <v>80101505</v>
      </c>
      <c r="AC90" s="29" t="str">
        <f>[1]Contratos!Z90</f>
        <v>NO</v>
      </c>
      <c r="AD90" s="30">
        <f t="shared" si="7"/>
        <v>93</v>
      </c>
      <c r="AE90" s="31"/>
      <c r="AF90" s="31" t="str" cm="1">
        <f t="array" ref="AF90">IF(AG90="","",IFERROR(_xlfn.LET(_xlpm.x,INDEX([1]RP!$Z$2:$Z$706,MATCH(AG90&amp;"",[1]RP!$A$2:$A$706&amp;"",0)),IF(_xlpm.x="","",_xlpm.x)),""))</f>
        <v>17626</v>
      </c>
      <c r="AG90" s="31" cm="1">
        <f t="array" ref="AG90">IF(A90="","",IFERROR(_xlfn.LET(_xlpm.rp,[1]RP!$A$2:$A$706,_xlpm.dt,IFERROR(DATE(--LEFT([1]RP!$B$2:$B$706,4),--MID([1]RP!$B$2:$B$706,6,2),--MID([1]RP!$B$2:$B$706,9,2)),0),_xlpm.qid,UPPER(SUBSTITUTE(SUBSTITUTE(SUBSTITUTE(SUBSTITUTE([1]RP!$Q$2:$Q$706,".",""),"-","")," ",""),"O","0")),_xlpm.eid,UPPER(SUBSTITUTE(SUBSTITUTE(SUBSTITUTE(SUBSTITUTE(Z90,".",""),"-","")," ",""),"O","0")),_xlpm.qnm,UPPER(SUBSTITUTE(SUBSTITUTE(SUBSTITUTE(SUBSTITUTE(SUBSTITUTE([1]RP!$R$2:$R$706,".",""),"-","")," ",""),"Á","A"),"É","E")),_xlpm.enm,UPPER(SUBSTITUTE(SUBSTITUTE(SUBSTITUTE(SUBSTITUTE(SUBSTITUTE(B90,".",""),"-",""),"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90,"CONTRATO ")," DE")&amp;"/2026",_xlpm.dm,--ISNUMBER(SEARCH(_xlpm.num,_xlpm.sup)),_xlpm.dif,IF(_xlpm.ok,(1-_xlpm.dm)*1000000+IF(AND(ISNUMBER(M90),M90&gt;0),ABS(_xlpm.dt-M90),0),1E+99),_xlpm.md,MIN(_xlpm.dif),INDEX(_xlfn._xlws.FILTER(_xlpm.rp,(_xlpm.ok&gt;0)*(_xlpm.dif=_xlpm.md)),1)),""))</f>
        <v>29326</v>
      </c>
      <c r="AH90" s="32" cm="1">
        <f t="array" ref="AH90">IF(AF90="","",IFERROR(_xlfn.LET(_xlpm.x,INDEX([1]CDP!$B$2:$B$322,MATCH(AF90&amp;"",[1]CDP!$A$2:$A$322&amp;"",0)),IF(ISNUMBER(_xlpm.x),_xlpm.x,DATE(--LEFT(_xlpm.x,4),--MID(_xlpm.x,6,2),--MID(_xlpm.x,9,2)))),""))</f>
        <v>46238</v>
      </c>
    </row>
    <row r="91" spans="1:34" ht="62.5" x14ac:dyDescent="0.35">
      <c r="A91" s="1" t="str">
        <f>[1]Contratos!A91</f>
        <v>CONTRATO 90 DE 2026</v>
      </c>
      <c r="B91" s="10" t="str">
        <f>[1]Contratos!B91</f>
        <v>LH URBAN CHIC S.A.S.</v>
      </c>
      <c r="C91" s="10" t="str">
        <f>[1]Contratos!E91</f>
        <v>Mínima cuantía</v>
      </c>
      <c r="D91" s="10" t="s">
        <v>152</v>
      </c>
      <c r="E91" s="11" t="str">
        <f>[1]Contratos!F91</f>
        <v>Contratar la adquisición de bonos de dotación canjeables única y exclusivamente para la compra de vestuario y calzado para los funcionarios de la Comisión de Regulación de Comunicaciones – CRC, que tengan o adquieran el derecho en la vigencia 2026</v>
      </c>
      <c r="F91" s="42">
        <f>[1]Procesos!F88</f>
        <v>27033600</v>
      </c>
      <c r="G91" s="13">
        <f>[1]Contratos!G91</f>
        <v>19360000</v>
      </c>
      <c r="H91" s="14" t="str">
        <f>IFERROR(VLOOKUP(A91, [1]Otrosí!A:F, 6, FALSE), "0")</f>
        <v>0</v>
      </c>
      <c r="I91" s="13">
        <f t="shared" si="4"/>
        <v>19360000</v>
      </c>
      <c r="J91" s="15">
        <f>IFERROR(_xlfn.LET(_xlpm.x,_xlfn.LET(_xlpm.n,--_xlfn.TEXTBEFORE(_xlfn.TEXTAFTER(A91,"CONTRATO ")," DE"),_xlpm.c,"CONTRATO "&amp;TEXT(_xlpm.n,"00")&amp;" DE 2026",_xlpm.h,'[1]SECOP II'!$A$1:$CQ$1,_xlpm.d,'[1]SECOP II'!$A$2:$CQ$94,_xlpm.r,INDEX(_xlpm.d,0,MATCH("Referencia del Contrato",_xlpm.h,0)),INDEX(_xlpm.d,MATCH(_xlpm.c,_xlpm.r,0),MATCH("Valor Pagado",_xlpm.h,0))),_xlfn.NUMBERVALUE(SUBSTITUTE(_xlpm.x,"$",""),".",",")),"")</f>
        <v>0</v>
      </c>
      <c r="K91" s="16">
        <f t="shared" si="5"/>
        <v>19360000</v>
      </c>
      <c r="L91" s="17">
        <f t="shared" si="6"/>
        <v>0</v>
      </c>
      <c r="M91" s="18">
        <f>[1]Contratos!O91</f>
        <v>46248</v>
      </c>
      <c r="N91" s="18">
        <f>[1]Contratos!P91</f>
        <v>46253</v>
      </c>
      <c r="O91" s="18">
        <f>[1]Contratos!Q91</f>
        <v>46371</v>
      </c>
      <c r="P91" s="18" t="str">
        <f>IFERROR(VLOOKUP(A91, [1]Otrosí!A:L, 7, FALSE), "N/A")</f>
        <v>N/A</v>
      </c>
      <c r="Q91" s="19" t="str">
        <f>IFERROR(_xlfn.LET(_xlpm.h,'[1]SECOP II'!$A$1:$CQ$1,_xlpm.d,'[1]SECOP II'!$A$2:$CQ$94,_xlpm.r,INDEX(_xlpm.d,0,MATCH("Referencia del Contrato",_xlpm.h,0)),INDEX(_xlpm.d,MATCH("CONTRATO 90 DE 2026",_xlpm.r,0),MATCH("Tipo de Contrato",_xlpm.h,0))),"")</f>
        <v>Suministros</v>
      </c>
      <c r="R91" s="20" t="str">
        <f>IFERROR(_xlfn.LET(_xlpm.n,--_xlfn.TEXTBEFORE(_xlfn.TEXTAFTER(A91,"CONTRATO ")," DE"),_xlpm.c,"CONTRATO "&amp;TEXT(_xlpm.n,"00")&amp;" DE 2026",_xlpm.h,'[1]SECOP II'!$A$1:$CQ$1,_xlpm.d,'[1]SECOP II'!$A$2:$CQ$94,_xlpm.r,INDEX(_xlpm.d,0,MATCH("Referencia del Contrato",_xlpm.h,0)),INDEX(_xlpm.d,MATCH(_xlpm.c,_xlpm.r,0),MATCH("Destino Gasto",_xlpm.h,0))),"")</f>
        <v>Funcionamiento</v>
      </c>
      <c r="S91" s="21" t="str">
        <f>IFERROR(_xlfn.LET(_xlpm.n,--_xlfn.TEXTBEFORE(_xlfn.TEXTAFTER(A91,"CONTRATO ")," DE"),_xlpm.c,"CONTRATO "&amp;TEXT(_xlpm.n,"00")&amp;" DE 2026",_xlpm.h,'[1]SECOP II'!$A$1:$CQ$1,_xlpm.d,'[1]SECOP II'!$A$2:$CQ$94,_xlpm.r,INDEX(_xlpm.d,0,MATCH("Referencia del Contrato",_xlpm.h,0)),INDEX(_xlpm.d,MATCH(_xlpm.c,_xlpm.r,0),MATCH("URLProceso",_xlpm.h,0))),"")</f>
        <v>https://community.secop.gov.co/Public/Tendering/OpportunityDetail/Index?noticeUID=CO1.NTC.10532925&amp;isFromPublicArea=True&amp;isModal=true&amp;asPopupView=true</v>
      </c>
      <c r="T91" s="22" t="str">
        <f>IFERROR(_xlfn.LET(_xlpm.h,'[1]SECOP II'!$A$1:$CQ$1,_xlpm.d,'[1]SECOP II'!$A$2:$CQ$94,_xlpm.r,INDEX(_xlpm.d,0,MATCH("Referencia del Contrato",_xlpm.h,0)),INDEX(_xlpm.d,MATCH("CONTRATO 90 DE 2026",_xlpm.r,0),MATCH("Estado Contrato",_xlpm.h,0))),"")</f>
        <v>En ejecución</v>
      </c>
      <c r="U91" s="10" t="str">
        <f>[1]Contratos!C91</f>
        <v>PJ</v>
      </c>
      <c r="V91" s="10" t="str">
        <f>[1]Contratos!I91</f>
        <v>GESTIÓN ADM. Y FIN</v>
      </c>
      <c r="W91" s="23" t="str">
        <f>[1]Contratos!J91</f>
        <v>LUIS JORGE GUEVARA</v>
      </c>
      <c r="X91" s="24" cm="1">
        <f t="array" ref="X91">IFERROR(VLOOKUP(W91,[1]COORD!$A$27:$B$67, 2, FALSE),[1]COORD!$B$27:$B$67)</f>
        <v>80811747</v>
      </c>
      <c r="Y91" s="25" t="s">
        <v>57</v>
      </c>
      <c r="Z91" s="26">
        <v>901580502</v>
      </c>
      <c r="AA91" s="27" cm="1">
        <f t="array" ref="AA91">IF(OR(Z91="",Z91="N/A"),"N/A",IF(ISERROR(VALUE(IF(ISNUMBER(FIND("-",TEXT(Z91,"@"))),LEFT(TEXT(Z91,"@"),FIND("-",TEXT(Z91,"@"))-1),TEXT(Z91,"@")))),"N/A",IF(MOD(SUMPRODUCT(VALUE(MID(TEXT(VALUE(IF(ISNUMBER(FIND("-",TEXT(Z91,"@"))),LEFT(TEXT(Z91,"@"),FIND("-",TEXT(Z91,"@"))-1),TEXT(Z91,"@"))),"000000000000000"),{15,14,13,12,11,10,9,8,7,6,5,4,3,2,1},1)),{3,7,13,17,19,23,29,37,41,43,47,53,59,67,71}),11)=0,0,IF(MOD(SUMPRODUCT(VALUE(MID(TEXT(VALUE(IF(ISNUMBER(FIND("-",TEXT(Z91,"@"))),LEFT(TEXT(Z91,"@"),FIND("-",TEXT(Z91,"@"))-1),TEXT(Z91,"@"))),"000000000000000"),{15,14,13,12,11,10,9,8,7,6,5,4,3,2,1},1)),{3,7,13,17,19,23,29,37,41,43,47,53,59,67,71}),11)=1,1,11-MOD(SUMPRODUCT(VALUE(MID(TEXT(VALUE(IF(ISNUMBER(FIND("-",TEXT(Z91,"@"))),LEFT(TEXT(Z91,"@"),FIND("-",TEXT(Z91,"@"))-1),TEXT(Z91,"@"))),"000000000000000"),{15,14,13,12,11,10,9,8,7,6,5,4,3,2,1},1)),{3,7,13,17,19,23,29,37,41,43,47,53,59,67,71}),11)))))</f>
        <v>1</v>
      </c>
      <c r="AB91" s="27">
        <v>53101602</v>
      </c>
      <c r="AC91" s="29" t="str">
        <f>[1]Contratos!Z91</f>
        <v>N/A</v>
      </c>
      <c r="AD91" s="30">
        <f t="shared" si="7"/>
        <v>123</v>
      </c>
      <c r="AE91" s="31"/>
      <c r="AF91" s="31" t="str" cm="1">
        <f t="array" ref="AF91">IF(AG91="","",IFERROR(_xlfn.LET(_xlpm.x,INDEX([1]RP!$Z$2:$Z$706,MATCH(AG91&amp;"",[1]RP!$A$2:$A$706&amp;"",0)),IF(_xlpm.x="","",_xlpm.x)),""))</f>
        <v>16226</v>
      </c>
      <c r="AG91" s="31" cm="1">
        <f t="array" ref="AG91">IF(A91="","",IFERROR(_xlfn.LET(_xlpm.rp,[1]RP!$A$2:$A$706,_xlpm.dt,IFERROR(DATE(--LEFT([1]RP!$B$2:$B$706,4),--MID([1]RP!$B$2:$B$706,6,2),--MID([1]RP!$B$2:$B$706,9,2)),0),_xlpm.qid,UPPER(SUBSTITUTE(SUBSTITUTE(SUBSTITUTE(SUBSTITUTE([1]RP!$Q$2:$Q$706,".",""),"-","")," ",""),"O","0")),_xlpm.eid,UPPER(SUBSTITUTE(SUBSTITUTE(SUBSTITUTE(SUBSTITUTE(Z91,".",""),"-","")," ",""),"O","0")),_xlpm.qnm,UPPER(SUBSTITUTE(SUBSTITUTE(SUBSTITUTE(SUBSTITUTE(SUBSTITUTE([1]RP!$R$2:$R$706,".",""),"-","")," ",""),"Á","A"),"É","E")),_xlpm.enm,UPPER(SUBSTITUTE(SUBSTITUTE(SUBSTITUTE(SUBSTITUTE(SUBSTITUTE(B91,".",""),"-",""),"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91,"CONTRATO ")," DE")&amp;"/2026",_xlpm.dm,--ISNUMBER(SEARCH(_xlpm.num,_xlpm.sup)),_xlpm.dif,IF(_xlpm.ok,(1-_xlpm.dm)*1000000+IF(AND(ISNUMBER(M91),M91&gt;0),ABS(_xlpm.dt-M91),0),1E+99),_xlpm.md,MIN(_xlpm.dif),INDEX(_xlfn._xlws.FILTER(_xlpm.rp,(_xlpm.ok&gt;0)*(_xlpm.dif=_xlpm.md)),1)),""))</f>
        <v>29626</v>
      </c>
      <c r="AH91" s="32" cm="1">
        <f t="array" ref="AH91">IF(AF91="","",IFERROR(_xlfn.LET(_xlpm.x,INDEX([1]CDP!$B$2:$B$322,MATCH(AF91&amp;"",[1]CDP!$A$2:$A$322&amp;"",0)),IF(ISNUMBER(_xlpm.x),_xlpm.x,DATE(--LEFT(_xlpm.x,4),--MID(_xlpm.x,6,2),--MID(_xlpm.x,9,2)))),""))</f>
        <v>46219</v>
      </c>
    </row>
    <row r="92" spans="1:34" ht="137.5" x14ac:dyDescent="0.35">
      <c r="A92" s="1" t="str">
        <f>[1]Contratos!A92</f>
        <v>CONTRATO 91 DE 2026</v>
      </c>
      <c r="B92" s="10" t="str">
        <f>[1]Contratos!B92</f>
        <v>MAICOL PEÑA</v>
      </c>
      <c r="C92" s="10" t="str">
        <f>[1]Contratos!E92</f>
        <v>Prestación de servicios profesionales o Apoyo a la gestión</v>
      </c>
      <c r="D92" s="10" t="s">
        <v>153</v>
      </c>
      <c r="E92" s="11" t="str">
        <f>[1]Contratos!F92</f>
        <v>Prestar los servicios profesionales especializados como Analista de Requerimientos y Pruebas QA, brindando apoyo técnico en el levantamiento de requerimientos técnicos y funcionales, el diseño de casos de pruebas y el aseguramiento de la calidad de software, mediante la ejecución de pruebas funcionales y no funcionales sobre los desarrollos implementados en el Centro Interactivo de Recursos Pedagógicos y en el entorno LMS Moodle del ecosistema Aula CRC, de conformidad con los lineamientos y requerimientos definidos por la Comisión de Regulación de Comunicaciones.</v>
      </c>
      <c r="F92" s="42">
        <f>[1]Procesos!F95</f>
        <v>36000000</v>
      </c>
      <c r="G92" s="13">
        <f>[1]Contratos!G92</f>
        <v>36000000</v>
      </c>
      <c r="H92" s="14" t="str">
        <f>IFERROR(VLOOKUP(A92, [1]Otrosí!A:F, 6, FALSE), "0")</f>
        <v>0</v>
      </c>
      <c r="I92" s="13">
        <f t="shared" si="4"/>
        <v>36000000</v>
      </c>
      <c r="J92" s="15">
        <f>IFERROR(_xlfn.LET(_xlpm.x,_xlfn.LET(_xlpm.n,--_xlfn.TEXTBEFORE(_xlfn.TEXTAFTER(A92,"CONTRATO ")," DE"),_xlpm.c,"CONTRATO "&amp;TEXT(_xlpm.n,"00")&amp;" DE 2026",_xlpm.h,'[1]SECOP II'!$A$1:$CQ$1,_xlpm.d,'[1]SECOP II'!$A$2:$CQ$94,_xlpm.r,INDEX(_xlpm.d,0,MATCH("Referencia del Contrato",_xlpm.h,0)),INDEX(_xlpm.d,MATCH(_xlpm.c,_xlpm.r,0),MATCH("Valor Pagado",_xlpm.h,0))),_xlfn.NUMBERVALUE(SUBSTITUTE(_xlpm.x,"$",""),".",",")),"")</f>
        <v>8000000</v>
      </c>
      <c r="K92" s="16">
        <f t="shared" si="5"/>
        <v>28000000</v>
      </c>
      <c r="L92" s="17">
        <f t="shared" si="6"/>
        <v>0.22222222222222221</v>
      </c>
      <c r="M92" s="18">
        <f>[1]Contratos!O92</f>
        <v>46245</v>
      </c>
      <c r="N92" s="18">
        <f>[1]Contratos!P92</f>
        <v>46246</v>
      </c>
      <c r="O92" s="18">
        <f>[1]Contratos!Q92</f>
        <v>46383</v>
      </c>
      <c r="P92" s="18" t="str">
        <f>IFERROR(VLOOKUP(A92, [1]Otrosí!A:L, 7, FALSE), "N/A")</f>
        <v>N/A</v>
      </c>
      <c r="Q92" s="19" t="str">
        <f>IFERROR(_xlfn.LET(_xlpm.h,'[1]SECOP II'!$A$1:$CQ$1,_xlpm.d,'[1]SECOP II'!$A$2:$CQ$94,_xlpm.r,INDEX(_xlpm.d,0,MATCH("Referencia del Contrato",_xlpm.h,0)),INDEX(_xlpm.d,MATCH("CONTRATO 91 DE 2026",_xlpm.r,0),MATCH("Tipo de Contrato",_xlpm.h,0))),"")</f>
        <v>Prestación de servicios</v>
      </c>
      <c r="R92" s="20" t="str">
        <f>IFERROR(_xlfn.LET(_xlpm.n,--_xlfn.TEXTBEFORE(_xlfn.TEXTAFTER(A92,"CONTRATO ")," DE"),_xlpm.c,"CONTRATO "&amp;TEXT(_xlpm.n,"00")&amp;" DE 2026",_xlpm.h,'[1]SECOP II'!$A$1:$CQ$1,_xlpm.d,'[1]SECOP II'!$A$2:$CQ$94,_xlpm.r,INDEX(_xlpm.d,0,MATCH("Referencia del Contrato",_xlpm.h,0)),INDEX(_xlpm.d,MATCH(_xlpm.c,_xlpm.r,0),MATCH("Destino Gasto",_xlpm.h,0))),"")</f>
        <v>Inversión</v>
      </c>
      <c r="S92" s="21" t="str">
        <f>IFERROR(_xlfn.LET(_xlpm.n,--_xlfn.TEXTBEFORE(_xlfn.TEXTAFTER(A92,"CONTRATO ")," DE"),_xlpm.c,"CONTRATO "&amp;TEXT(_xlpm.n,"00")&amp;" DE 2026",_xlpm.h,'[1]SECOP II'!$A$1:$CQ$1,_xlpm.d,'[1]SECOP II'!$A$2:$CQ$94,_xlpm.r,INDEX(_xlpm.d,0,MATCH("Referencia del Contrato",_xlpm.h,0)),INDEX(_xlpm.d,MATCH(_xlpm.c,_xlpm.r,0),MATCH("URLProceso",_xlpm.h,0))),"")</f>
        <v>https://community.secop.gov.co/Public/Tendering/OpportunityDetail/Index?noticeUID=CO1.NTC.10685277&amp;isFromPublicArea=True&amp;isModal=true&amp;asPopupView=true</v>
      </c>
      <c r="T92" s="22" t="str">
        <f>IFERROR(_xlfn.LET(_xlpm.h,'[1]SECOP II'!$A$1:$CQ$1,_xlpm.d,'[1]SECOP II'!$A$2:$CQ$94,_xlpm.r,INDEX(_xlpm.d,0,MATCH("Referencia del Contrato",_xlpm.h,0)),INDEX(_xlpm.d,MATCH("CONTRATO 91 DE 2026",_xlpm.r,0),MATCH("Estado Contrato",_xlpm.h,0))),"")</f>
        <v>En ejecución</v>
      </c>
      <c r="U92" s="10" t="str">
        <f>[1]Contratos!C92</f>
        <v>PN</v>
      </c>
      <c r="V92" s="10" t="str">
        <f>[1]Contratos!I92</f>
        <v>PEDAGOGÍA REGULATORIA / TECNOLOGÍAS Y SIST. DE INF.</v>
      </c>
      <c r="W92" s="23" t="str">
        <f>[1]Contratos!J92</f>
        <v>WILVER DELGADO / RICARDO RAMÍREZ</v>
      </c>
      <c r="X92" s="24" t="str" cm="1">
        <f t="array" ref="X92">IFERROR(VLOOKUP(W92,[1]COORD!$A$27:$B$67, 2, FALSE),[1]COORD!$B$27:$B$67)</f>
        <v>13747812 / 79444533</v>
      </c>
      <c r="Y92" s="25" t="s">
        <v>35</v>
      </c>
      <c r="Z92" s="26">
        <v>1075255999</v>
      </c>
      <c r="AA92" s="27" t="str" cm="1">
        <f t="array" ref="AA92">IF(Y92&lt;&gt;"NIT","N/A",IF(OR(Z92="",Z92="N/A"),"N/A",IF(ISERROR(VALUE(IF(ISNUMBER(FIND("-",TEXT(Z92,"@"))),LEFT(TEXT(Z92,"@"),FIND("-",TEXT(Z92,"@"))-1),TEXT(Z92,"@")))),"N/A",IF(MOD(SUMPRODUCT(VALUE(MID(TEXT(VALUE(IF(ISNUMBER(FIND("-",TEXT(Z92,"@"))),LEFT(TEXT(Z92,"@"),FIND("-",TEXT(Z92,"@"))-1),TEXT(Z92,"@"))),"000000000000000"),{15,14,13,12,11,10,9,8,7,6,5,4,3,2,1},1)),{3,7,13,17,19,23,29,37,41,43,47,53,59,67,71}),11)=0,0,IF(MOD(SUMPRODUCT(VALUE(MID(TEXT(VALUE(IF(ISNUMBER(FIND("-",TEXT(Z92,"@"))),LEFT(TEXT(Z92,"@"),FIND("-",TEXT(Z92,"@"))-1),TEXT(Z92,"@"))),"000000000000000"),{15,14,13,12,11,10,9,8,7,6,5,4,3,2,1},1)),{3,7,13,17,19,23,29,37,41,43,47,53,59,67,71}),11)=1,1,11-MOD(SUMPRODUCT(VALUE(MID(TEXT(VALUE(IF(ISNUMBER(FIND("-",TEXT(Z92,"@"))),LEFT(TEXT(Z92,"@"),FIND("-",TEXT(Z92,"@"))-1),TEXT(Z92,"@"))),"000000000000000"),{15,14,13,12,11,10,9,8,7,6,5,4,3,2,1},1)),{3,7,13,17,19,23,29,37,41,43,47,53,59,67,71}),11))))))</f>
        <v>N/A</v>
      </c>
      <c r="AB92" s="27">
        <v>81111507</v>
      </c>
      <c r="AC92" s="29" t="str">
        <f>[1]Contratos!Z92</f>
        <v>NO</v>
      </c>
      <c r="AD92" s="30">
        <f t="shared" si="7"/>
        <v>138</v>
      </c>
      <c r="AE92" s="31"/>
      <c r="AF92" s="31" t="str" cm="1">
        <f t="array" ref="AF92">IF(AG92="","",IFERROR(_xlfn.LET(_xlpm.x,INDEX([1]RP!$Z$2:$Z$706,MATCH(AG92&amp;"",[1]RP!$A$2:$A$706&amp;"",0)),IF(_xlpm.x="","",_xlpm.x)),""))</f>
        <v>17726</v>
      </c>
      <c r="AG92" s="31" cm="1">
        <f t="array" ref="AG92">IF(A92="","",IFERROR(_xlfn.LET(_xlpm.rp,[1]RP!$A$2:$A$706,_xlpm.dt,IFERROR(DATE(--LEFT([1]RP!$B$2:$B$706,4),--MID([1]RP!$B$2:$B$706,6,2),--MID([1]RP!$B$2:$B$706,9,2)),0),_xlpm.qid,UPPER(SUBSTITUTE(SUBSTITUTE(SUBSTITUTE(SUBSTITUTE([1]RP!$Q$2:$Q$706,".",""),"-","")," ",""),"O","0")),_xlpm.eid,UPPER(SUBSTITUTE(SUBSTITUTE(SUBSTITUTE(SUBSTITUTE(Z92,".",""),"-","")," ",""),"O","0")),_xlpm.qnm,UPPER(SUBSTITUTE(SUBSTITUTE(SUBSTITUTE(SUBSTITUTE(SUBSTITUTE([1]RP!$R$2:$R$706,".",""),"-","")," ",""),"Á","A"),"É","E")),_xlpm.enm,UPPER(SUBSTITUTE(SUBSTITUTE(SUBSTITUTE(SUBSTITUTE(SUBSTITUTE(B92,".",""),"-",""),"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92,"CONTRATO ")," DE")&amp;"/2026",_xlpm.dm,--ISNUMBER(SEARCH(_xlpm.num,_xlpm.sup)),_xlpm.dif,IF(_xlpm.ok,(1-_xlpm.dm)*1000000+IF(AND(ISNUMBER(M92),M92&gt;0),ABS(_xlpm.dt-M92),0),1E+99),_xlpm.md,MIN(_xlpm.dif),INDEX(_xlfn._xlws.FILTER(_xlpm.rp,(_xlpm.ok&gt;0)*(_xlpm.dif=_xlpm.md)),1)),""))</f>
        <v>29426</v>
      </c>
      <c r="AH92" s="32" cm="1">
        <f t="array" ref="AH92">IF(AF92="","",IFERROR(_xlfn.LET(_xlpm.x,INDEX([1]CDP!$B$2:$B$322,MATCH(AF92&amp;"",[1]CDP!$A$2:$A$322&amp;"",0)),IF(ISNUMBER(_xlpm.x),_xlpm.x,DATE(--LEFT(_xlpm.x,4),--MID(_xlpm.x,6,2),--MID(_xlpm.x,9,2)))),""))</f>
        <v>46240</v>
      </c>
    </row>
    <row r="93" spans="1:34" ht="100" x14ac:dyDescent="0.35">
      <c r="A93" s="1" t="str">
        <f>[1]Contratos!A93</f>
        <v>CONTRATO 92 DE 2026</v>
      </c>
      <c r="B93" s="10" t="str">
        <f>[1]Contratos!B93</f>
        <v>ALL TECHNOLOGICAL SERVICES ATS S A S</v>
      </c>
      <c r="C93" s="10" t="str">
        <f>[1]Contratos!E93</f>
        <v>Mínima cuantía</v>
      </c>
      <c r="D93" s="10" t="str">
        <f>IFERROR(INDEX([1]Procesos!$B$2:$B$132,MATCH(87,[1]Procesos!$A$2:$A$132,0))&amp;" "&amp;87&amp;" DE 2026","")</f>
        <v>MÍNIMA CUANTÍA 87 DE 2026</v>
      </c>
      <c r="E93" s="11" t="str">
        <f>[1]Contratos!F93</f>
        <v>Contratar la prestación del servicio de mantenimiento preventivo y correctivo de los equipos, Facilities e infraestructura de Tecnologías de Información y Comunicaciones utilizados por la Comisión de Regulación de Comunicaciones, incluyendo el suministro e instalación de repuestos, partes y o accesorios originales no remanufacturados que se requieran con el fin de asegurar su funcionamiento continuo y confiable.</v>
      </c>
      <c r="F93" s="49">
        <f>IFERROR(INDEX([1]Procesos!$F$2:$F$132,MATCH(87,[1]Procesos!$A$2:$A$132,0)),"")</f>
        <v>35763500</v>
      </c>
      <c r="G93" s="13">
        <f>[1]Contratos!G93</f>
        <v>29990215</v>
      </c>
      <c r="H93" s="14" t="str">
        <f>IFERROR(VLOOKUP(A93, [1]Otrosí!A:F, 6, FALSE), "0")</f>
        <v>0</v>
      </c>
      <c r="I93" s="13">
        <f t="shared" si="4"/>
        <v>29990215</v>
      </c>
      <c r="J93" s="15">
        <f>IFERROR(_xlfn.LET(_xlpm.x,_xlfn.LET(_xlpm.n,--_xlfn.TEXTBEFORE(_xlfn.TEXTAFTER(A93,"CONTRATO ")," DE"),_xlpm.c,"CONTRATO "&amp;TEXT(_xlpm.n,"00")&amp;" DE 2026",_xlpm.h,'[1]SECOP II'!$A$1:$CQ$1,_xlpm.d,'[1]SECOP II'!$A$2:$CQ$94,_xlpm.r,INDEX(_xlpm.d,0,MATCH("Referencia del Contrato",_xlpm.h,0)),INDEX(_xlpm.d,MATCH(_xlpm.c,_xlpm.r,0),MATCH("Valor Pagado",_xlpm.h,0))),_xlfn.NUMBERVALUE(SUBSTITUTE(_xlpm.x,"$",""),".",",")),"")</f>
        <v>0</v>
      </c>
      <c r="K93" s="16">
        <f t="shared" si="5"/>
        <v>29990215</v>
      </c>
      <c r="L93" s="17">
        <f t="shared" si="6"/>
        <v>0</v>
      </c>
      <c r="M93" s="18">
        <f>[1]Contratos!O93</f>
        <v>46252</v>
      </c>
      <c r="N93" s="18">
        <f>[1]Contratos!P93</f>
        <v>46258</v>
      </c>
      <c r="O93" s="18">
        <f>[1]Contratos!Q93</f>
        <v>46371</v>
      </c>
      <c r="P93" s="18" t="str">
        <f>IFERROR(VLOOKUP(A93, [1]Otrosí!A:L, 7, FALSE), "N/A")</f>
        <v>N/A</v>
      </c>
      <c r="Q93" s="19" t="str">
        <f>IFERROR(_xlfn.LET(_xlpm.h,'[1]SECOP II'!$A$1:$CQ$1,_xlpm.d,'[1]SECOP II'!$A$2:$CQ$94,_xlpm.r,INDEX(_xlpm.d,0,MATCH("Referencia del Contrato",_xlpm.h,0)),INDEX(_xlpm.d,MATCH("CONTRATO 92 DE 2026",_xlpm.r,0),MATCH("Tipo de Contrato",_xlpm.h,0))),"")</f>
        <v>Prestación de servicios</v>
      </c>
      <c r="R93" s="20" t="str">
        <f>IFERROR(_xlfn.LET(_xlpm.n,--_xlfn.TEXTBEFORE(_xlfn.TEXTAFTER(A93,"CONTRATO ")," DE"),_xlpm.c,"CONTRATO "&amp;TEXT(_xlpm.n,"00")&amp;" DE 2026",_xlpm.h,'[1]SECOP II'!$A$1:$CQ$1,_xlpm.d,'[1]SECOP II'!$A$2:$CQ$94,_xlpm.r,INDEX(_xlpm.d,0,MATCH("Referencia del Contrato",_xlpm.h,0)),INDEX(_xlpm.d,MATCH(_xlpm.c,_xlpm.r,0),MATCH("Destino Gasto",_xlpm.h,0))),"")</f>
        <v>Funcionamiento</v>
      </c>
      <c r="S93" s="34" t="str">
        <f>IFERROR(_xlfn.LET(_xlpm.n,--_xlfn.TEXTBEFORE(_xlfn.TEXTAFTER(A93,"CONTRATO ")," DE"),_xlpm.c,"CONTRATO "&amp;TEXT(_xlpm.n,"00")&amp;" DE 2026",_xlpm.h,'[1]SECOP II'!$A$1:$CQ$1,_xlpm.d,'[1]SECOP II'!$A$2:$CQ$94,_xlpm.r,INDEX(_xlpm.d,0,MATCH("Referencia del Contrato",_xlpm.h,0)),INDEX(_xlpm.d,MATCH(_xlpm.c,_xlpm.r,0),MATCH("URLProceso",_xlpm.h,0))),"")</f>
        <v>https://community.secop.gov.co/Public/Tendering/OpportunityDetail/Index?noticeUID=CO1.NTC.10575387&amp;isFromPublicArea=True&amp;isModal=true&amp;asPopupView=true</v>
      </c>
      <c r="T93" s="22" t="str">
        <f>IFERROR(_xlfn.LET(_xlpm.h,'[1]SECOP II'!$A$1:$CQ$1,_xlpm.d,'[1]SECOP II'!$A$2:$CQ$94,_xlpm.r,INDEX(_xlpm.d,0,MATCH("Referencia del Contrato",_xlpm.h,0)),INDEX(_xlpm.d,MATCH("CONTRATO 92 DE 2026",_xlpm.r,0),MATCH("Estado Contrato",_xlpm.h,0))),"")</f>
        <v>En ejecución</v>
      </c>
      <c r="U93" s="10" t="str">
        <f>[1]Contratos!C93</f>
        <v>PJ</v>
      </c>
      <c r="V93" s="10" t="str">
        <f>[1]Contratos!I93</f>
        <v>TECNOLOGÍAS Y SIST. DE INF.</v>
      </c>
      <c r="W93" s="23" t="str">
        <f>[1]Contratos!J93</f>
        <v>JEISSON PULIDO</v>
      </c>
      <c r="X93" s="24" cm="1">
        <f t="array" ref="X93">IFERROR(VLOOKUP(W93,[1]COORD!$A$27:$B$67, 2, FALSE),[1]COORD!$B$27:$B$67)</f>
        <v>1023914725</v>
      </c>
      <c r="Y93" s="25" t="s">
        <v>57</v>
      </c>
      <c r="Z93" s="26">
        <v>900627060</v>
      </c>
      <c r="AA93" s="27" cm="1">
        <f t="array" ref="AA93">IF(OR(Z93="",Z93="N/A"),"N/A",IF(ISERROR(VALUE(IF(ISNUMBER(FIND("-",TEXT(Z93,"@"))),LEFT(TEXT(Z93,"@"),FIND("-",TEXT(Z93,"@"))-1),TEXT(Z93,"@")))),"N/A",IF(MOD(SUMPRODUCT(VALUE(MID(TEXT(VALUE(IF(ISNUMBER(FIND("-",TEXT(Z93,"@"))),LEFT(TEXT(Z93,"@"),FIND("-",TEXT(Z93,"@"))-1),TEXT(Z93,"@"))),"000000000000000"),{15,14,13,12,11,10,9,8,7,6,5,4,3,2,1},1)),{3,7,13,17,19,23,29,37,41,43,47,53,59,67,71}),11)=0,0,IF(MOD(SUMPRODUCT(VALUE(MID(TEXT(VALUE(IF(ISNUMBER(FIND("-",TEXT(Z93,"@"))),LEFT(TEXT(Z93,"@"),FIND("-",TEXT(Z93,"@"))-1),TEXT(Z93,"@"))),"000000000000000"),{15,14,13,12,11,10,9,8,7,6,5,4,3,2,1},1)),{3,7,13,17,19,23,29,37,41,43,47,53,59,67,71}),11)=1,1,11-MOD(SUMPRODUCT(VALUE(MID(TEXT(VALUE(IF(ISNUMBER(FIND("-",TEXT(Z93,"@"))),LEFT(TEXT(Z93,"@"),FIND("-",TEXT(Z93,"@"))-1),TEXT(Z93,"@"))),"000000000000000"),{15,14,13,12,11,10,9,8,7,6,5,4,3,2,1},1)),{3,7,13,17,19,23,29,37,41,43,47,53,59,67,71}),11)))))</f>
        <v>9</v>
      </c>
      <c r="AB93" s="27">
        <v>81112303</v>
      </c>
      <c r="AC93" s="29" t="str">
        <f>[1]Contratos!Z93</f>
        <v>NO</v>
      </c>
      <c r="AD93" s="30">
        <f t="shared" si="7"/>
        <v>119</v>
      </c>
      <c r="AE93" s="31"/>
      <c r="AF93" s="31" t="str" cm="1">
        <f t="array" ref="AF93">IF(AG93="","",IFERROR(_xlfn.LET(_xlpm.x,INDEX([1]RP!$Z$2:$Z$706,MATCH(AG93&amp;"",[1]RP!$A$2:$A$706&amp;"",0)),IF(_xlpm.x="","",_xlpm.x)),""))</f>
        <v>16626</v>
      </c>
      <c r="AG93" s="31" cm="1">
        <f t="array" ref="AG93">IF(A93="","",IFERROR(_xlfn.LET(_xlpm.rp,[1]RP!$A$2:$A$706,_xlpm.dt,IFERROR(DATE(--LEFT([1]RP!$B$2:$B$706,4),--MID([1]RP!$B$2:$B$706,6,2),--MID([1]RP!$B$2:$B$706,9,2)),0),_xlpm.qid,UPPER(SUBSTITUTE(SUBSTITUTE(SUBSTITUTE(SUBSTITUTE([1]RP!$Q$2:$Q$706,".",""),"-","")," ",""),"O","0")),_xlpm.eid,UPPER(SUBSTITUTE(SUBSTITUTE(SUBSTITUTE(SUBSTITUTE(Z93,".",""),"-","")," ",""),"O","0")),_xlpm.qnm,UPPER(SUBSTITUTE(SUBSTITUTE(SUBSTITUTE(SUBSTITUTE(SUBSTITUTE([1]RP!$R$2:$R$706,".",""),"-","")," ",""),"Á","A"),"É","E")),_xlpm.enm,UPPER(SUBSTITUTE(SUBSTITUTE(SUBSTITUTE(SUBSTITUTE(SUBSTITUTE(B93,".",""),"-",""),"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93,"CONTRATO ")," DE")&amp;"/2026",_xlpm.dm,--ISNUMBER(SEARCH(_xlpm.num,_xlpm.sup)),_xlpm.dif,IF(_xlpm.ok,(1-_xlpm.dm)*1000000+IF(AND(ISNUMBER(M93),M93&gt;0),ABS(_xlpm.dt-M93),0),1E+99),_xlpm.md,MIN(_xlpm.dif),INDEX(_xlfn._xlws.FILTER(_xlpm.rp,(_xlpm.ok&gt;0)*(_xlpm.dif=_xlpm.md)),1)),""))</f>
        <v>29926</v>
      </c>
      <c r="AH93" s="32" cm="1">
        <f t="array" ref="AH93">IF(AF93="","",IFERROR(_xlfn.LET(_xlpm.x,INDEX([1]CDP!$B$2:$B$322,MATCH(AF93&amp;"",[1]CDP!$A$2:$A$322&amp;"",0)),IF(ISNUMBER(_xlpm.x),_xlpm.x,DATE(--LEFT(_xlpm.x,4),--MID(_xlpm.x,6,2),--MID(_xlpm.x,9,2)))),""))</f>
        <v>46227</v>
      </c>
    </row>
    <row r="94" spans="1:34" ht="72.5" x14ac:dyDescent="0.35">
      <c r="A94" s="1" t="str">
        <f>[1]Contratos!A94</f>
        <v>CONTRATO 93 DE 2026</v>
      </c>
      <c r="B94" s="10" t="str">
        <f>[1]Contratos!B94</f>
        <v>STATE SOLUTIONS SAS</v>
      </c>
      <c r="C94" s="10" t="str">
        <f>[1]Contratos!E94</f>
        <v>Mínima cuantía</v>
      </c>
      <c r="D94" s="10" t="str">
        <f>IFERROR(INDEX([1]Procesos!$B$2:$B$132,MATCH(88,[1]Procesos!$A$2:$A$132,0))&amp;" "&amp;88&amp;" DE 2026","")</f>
        <v>MÍNIMA CUANTÍA 88 DE 2026</v>
      </c>
      <c r="E94" s="11" t="str">
        <f>[1]Contratos!F94</f>
        <v>Suministro de elementos de papelería, Cartuchos, tóner de impresión y otros artículos de oficina, para el normal funcionamiento de la Comisión de Regulación de Comunicaciones - CRC</v>
      </c>
      <c r="F94" s="49">
        <f>IFERROR(INDEX([1]Procesos!$F$2:$F$132,MATCH(88,[1]Procesos!$A$2:$A$132,0)),"")</f>
        <v>5076010</v>
      </c>
      <c r="G94" s="13">
        <f>[1]Contratos!G94</f>
        <v>5041279</v>
      </c>
      <c r="H94" s="14" t="str">
        <f>IFERROR(VLOOKUP(A94, [1]Otrosí!A:F, 6, FALSE), "0")</f>
        <v>0</v>
      </c>
      <c r="I94" s="13">
        <f t="shared" si="4"/>
        <v>5041279</v>
      </c>
      <c r="J94" s="15">
        <f>IFERROR(_xlfn.LET(_xlpm.x,_xlfn.LET(_xlpm.n,--_xlfn.TEXTBEFORE(_xlfn.TEXTAFTER(A94,"CONTRATO ")," DE"),_xlpm.c,"CONTRATO "&amp;TEXT(_xlpm.n,"00")&amp;" DE 2026",_xlpm.h,'[1]SECOP II'!$A$1:$CQ$1,_xlpm.d,'[1]SECOP II'!$A$2:$CQ$94,_xlpm.r,INDEX(_xlpm.d,0,MATCH("Referencia del Contrato",_xlpm.h,0)),INDEX(_xlpm.d,MATCH(_xlpm.c,_xlpm.r,0),MATCH("Valor Pagado",_xlpm.h,0))),_xlfn.NUMBERVALUE(SUBSTITUTE(_xlpm.x,"$",""),".",",")),"")</f>
        <v>3153719.5</v>
      </c>
      <c r="K94" s="16">
        <f t="shared" si="5"/>
        <v>1887559.5</v>
      </c>
      <c r="L94" s="17">
        <f t="shared" si="6"/>
        <v>0.62557924288657696</v>
      </c>
      <c r="M94" s="18">
        <f>[1]Contratos!O94</f>
        <v>46260</v>
      </c>
      <c r="N94" s="18">
        <f>[1]Contratos!P94</f>
        <v>46262</v>
      </c>
      <c r="O94" s="18">
        <f>[1]Contratos!Q94</f>
        <v>46371</v>
      </c>
      <c r="P94" s="18" t="str">
        <f>IFERROR(VLOOKUP(A94, [1]Otrosí!A:L, 7, FALSE), "N/A")</f>
        <v>N/A</v>
      </c>
      <c r="Q94" s="19" t="str">
        <f>IFERROR(_xlfn.LET(_xlpm.h,'[1]SECOP II'!$A$1:$CQ$1,_xlpm.d,'[1]SECOP II'!$A$2:$CQ$94,_xlpm.r,INDEX(_xlpm.d,0,MATCH("Referencia del Contrato",_xlpm.h,0)),INDEX(_xlpm.d,MATCH("CONTRATO 93 DE 2026",_xlpm.r,0),MATCH("Tipo de Contrato",_xlpm.h,0))),"")</f>
        <v>Suministros</v>
      </c>
      <c r="R94" s="20" t="str">
        <f>IFERROR(_xlfn.LET(_xlpm.n,--_xlfn.TEXTBEFORE(_xlfn.TEXTAFTER(A94,"CONTRATO ")," DE"),_xlpm.c,"CONTRATO "&amp;TEXT(_xlpm.n,"00")&amp;" DE 2026",_xlpm.h,'[1]SECOP II'!$A$1:$CQ$1,_xlpm.d,'[1]SECOP II'!$A$2:$CQ$94,_xlpm.r,INDEX(_xlpm.d,0,MATCH("Referencia del Contrato",_xlpm.h,0)),INDEX(_xlpm.d,MATCH(_xlpm.c,_xlpm.r,0),MATCH("Destino Gasto",_xlpm.h,0))),"")</f>
        <v>Funcionamiento</v>
      </c>
      <c r="S94" s="34" t="str">
        <f>IFERROR(_xlfn.LET(_xlpm.n,--_xlfn.TEXTBEFORE(_xlfn.TEXTAFTER(A94,"CONTRATO ")," DE"),_xlpm.c,"CONTRATO "&amp;TEXT(_xlpm.n,"00")&amp;" DE 2026",_xlpm.h,'[1]SECOP II'!$A$1:$CQ$1,_xlpm.d,'[1]SECOP II'!$A$2:$CQ$94,_xlpm.r,INDEX(_xlpm.d,0,MATCH("Referencia del Contrato",_xlpm.h,0)),INDEX(_xlpm.d,MATCH(_xlpm.c,_xlpm.r,0),MATCH("URLProceso",_xlpm.h,0))),"")</f>
        <v>https://community.secop.gov.co/Public/Tendering/OpportunityDetail/Index?noticeUID=CO1.NTC.10586829&amp;isFromPublicArea=True&amp;isModal=true&amp;asPopupView=true</v>
      </c>
      <c r="T94" s="22" t="str">
        <f>IFERROR(_xlfn.LET(_xlpm.h,'[1]SECOP II'!$A$1:$CQ$1,_xlpm.d,'[1]SECOP II'!$A$2:$CQ$94,_xlpm.r,INDEX(_xlpm.d,0,MATCH("Referencia del Contrato",_xlpm.h,0)),INDEX(_xlpm.d,MATCH("CONTRATO 93 DE 2026",_xlpm.r,0),MATCH("Estado Contrato",_xlpm.h,0))),"")</f>
        <v>En ejecución</v>
      </c>
      <c r="U94" s="10" t="str">
        <f>[1]Contratos!C94</f>
        <v>PJ</v>
      </c>
      <c r="V94" s="10" t="str">
        <f>[1]Contratos!I94</f>
        <v>GESTIÓN ADM. Y FIN</v>
      </c>
      <c r="W94" s="23" t="str">
        <f>[1]Contratos!J94</f>
        <v>DIANA WILCHES / LUIS JORGE GUEVARA</v>
      </c>
      <c r="X94" s="24" t="str" cm="1">
        <f t="array" ref="X94">IFERROR(VLOOKUP(W94,[1]COORD!$A$27:$B$67, 2, FALSE),[1]COORD!$B$27:$B$67)</f>
        <v>40049758 / 80811747</v>
      </c>
      <c r="Y94" s="25" t="s">
        <v>57</v>
      </c>
      <c r="Z94" s="26">
        <v>900464395</v>
      </c>
      <c r="AA94" s="27" cm="1">
        <f t="array" ref="AA94">IF(OR(Z94="",Z94="N/A"),"N/A",IF(ISERROR(VALUE(IF(ISNUMBER(FIND("-",TEXT(Z94,"@"))),LEFT(TEXT(Z94,"@"),FIND("-",TEXT(Z94,"@"))-1),TEXT(Z94,"@")))),"N/A",IF(MOD(SUMPRODUCT(VALUE(MID(TEXT(VALUE(IF(ISNUMBER(FIND("-",TEXT(Z94,"@"))),LEFT(TEXT(Z94,"@"),FIND("-",TEXT(Z94,"@"))-1),TEXT(Z94,"@"))),"000000000000000"),{15,14,13,12,11,10,9,8,7,6,5,4,3,2,1},1)),{3,7,13,17,19,23,29,37,41,43,47,53,59,67,71}),11)=0,0,IF(MOD(SUMPRODUCT(VALUE(MID(TEXT(VALUE(IF(ISNUMBER(FIND("-",TEXT(Z94,"@"))),LEFT(TEXT(Z94,"@"),FIND("-",TEXT(Z94,"@"))-1),TEXT(Z94,"@"))),"000000000000000"),{15,14,13,12,11,10,9,8,7,6,5,4,3,2,1},1)),{3,7,13,17,19,23,29,37,41,43,47,53,59,67,71}),11)=1,1,11-MOD(SUMPRODUCT(VALUE(MID(TEXT(VALUE(IF(ISNUMBER(FIND("-",TEXT(Z94,"@"))),LEFT(TEXT(Z94,"@"),FIND("-",TEXT(Z94,"@"))-1),TEXT(Z94,"@"))),"000000000000000"),{15,14,13,12,11,10,9,8,7,6,5,4,3,2,1},1)),{3,7,13,17,19,23,29,37,41,43,47,53,59,67,71}),11)))))</f>
        <v>1</v>
      </c>
      <c r="AB94" s="27">
        <v>14111507</v>
      </c>
      <c r="AC94" s="29" t="str">
        <f>[1]Contratos!Z94</f>
        <v>N/A</v>
      </c>
      <c r="AD94" s="30">
        <f t="shared" si="7"/>
        <v>111</v>
      </c>
      <c r="AE94" s="31"/>
      <c r="AF94" s="31" t="str" cm="1">
        <f t="array" ref="AF94">IF(AG94="","",IFERROR(_xlfn.LET(_xlpm.x,INDEX([1]RP!$Z$2:$Z$706,MATCH(AG94&amp;"",[1]RP!$A$2:$A$706&amp;"",0)),IF(_xlpm.x="","",_xlpm.x)),""))</f>
        <v>13526</v>
      </c>
      <c r="AG94" s="31" cm="1">
        <f t="array" ref="AG94">IF(A94="","",IFERROR(_xlfn.LET(_xlpm.rp,[1]RP!$A$2:$A$706,_xlpm.dt,IFERROR(DATE(--LEFT([1]RP!$B$2:$B$706,4),--MID([1]RP!$B$2:$B$706,6,2),--MID([1]RP!$B$2:$B$706,9,2)),0),_xlpm.qid,UPPER(SUBSTITUTE(SUBSTITUTE(SUBSTITUTE(SUBSTITUTE([1]RP!$Q$2:$Q$706,".",""),"-","")," ",""),"O","0")),_xlpm.eid,UPPER(SUBSTITUTE(SUBSTITUTE(SUBSTITUTE(SUBSTITUTE(Z94,".",""),"-","")," ",""),"O","0")),_xlpm.qnm,UPPER(SUBSTITUTE(SUBSTITUTE(SUBSTITUTE(SUBSTITUTE(SUBSTITUTE([1]RP!$R$2:$R$706,".",""),"-","")," ",""),"Á","A"),"É","E")),_xlpm.enm,UPPER(SUBSTITUTE(SUBSTITUTE(SUBSTITUTE(SUBSTITUTE(SUBSTITUTE(B94,".",""),"-",""),"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94,"CONTRATO ")," DE")&amp;"/2026",_xlpm.dm,--ISNUMBER(SEARCH(_xlpm.num,_xlpm.sup)),_xlpm.dif,IF(_xlpm.ok,(1-_xlpm.dm)*1000000+IF(AND(ISNUMBER(M94),M94&gt;0),ABS(_xlpm.dt-M94),0),1E+99),_xlpm.md,MIN(_xlpm.dif),INDEX(_xlfn._xlws.FILTER(_xlpm.rp,(_xlpm.ok&gt;0)*(_xlpm.dif=_xlpm.md)),1)),""))</f>
        <v>30826</v>
      </c>
      <c r="AH94" s="32" cm="1">
        <f t="array" ref="AH94">IF(AF94="","",IFERROR(_xlfn.LET(_xlpm.x,INDEX([1]CDP!$B$2:$B$322,MATCH(AF94&amp;"",[1]CDP!$A$2:$A$322&amp;"",0)),IF(ISNUMBER(_xlpm.x),_xlpm.x,DATE(--LEFT(_xlpm.x,4),--MID(_xlpm.x,6,2),--MID(_xlpm.x,9,2)))),""))</f>
        <v>46162</v>
      </c>
    </row>
    <row r="95" spans="1:34" ht="45.65" customHeight="1" x14ac:dyDescent="0.35">
      <c r="A95" s="1" t="str">
        <f>[1]Contratos!A95</f>
        <v>CONTRATO 94 DE 2026</v>
      </c>
      <c r="B95" s="10" t="str">
        <f>[1]Contratos!B95</f>
        <v>CONSORCIO DEPIN 001-2026</v>
      </c>
      <c r="C95" s="10" t="str">
        <f>[1]Contratos!E95</f>
        <v>Concurso de méritos</v>
      </c>
      <c r="D95" s="10" t="str">
        <f>IFERROR(INDEX([1]Procesos!$B$2:$B$132,MATCH(85,[1]Procesos!$A$2:$A$132,0))&amp;" "&amp;85&amp;" DE 2026","")</f>
        <v>CONCURSO DE MERITOS 85 DE 2026</v>
      </c>
      <c r="E95" s="11" t="str">
        <f>[1]Contratos!F95</f>
        <v>prestar los servicios de consultoría especializada en investigación social y de mercados para realizar el estudio de caracterización de los grupos de valor de la Comisión de Regulación de Comunicaciones (CRC), mediante la aplicación de metodologías cualitativas y cuantitativas, con el fin de actualizar su identificación, analizar sus dinámicas de relacionamiento con la Entidad e identificar sus necesidades y expectativas</v>
      </c>
      <c r="F95" s="49">
        <f>IFERROR(INDEX([1]Procesos!$F$2:$F$132,MATCH(85,[1]Procesos!$A$2:$A$132,0)),"")</f>
        <v>79492000</v>
      </c>
      <c r="G95" s="13">
        <f>[1]Contratos!G95</f>
        <v>79492000</v>
      </c>
      <c r="H95" s="14" t="str">
        <f>IFERROR(VLOOKUP(A95, [1]Otrosí!A:F, 6, FALSE), "0")</f>
        <v>0</v>
      </c>
      <c r="I95" s="13">
        <f t="shared" si="4"/>
        <v>79492000</v>
      </c>
      <c r="J95" s="15">
        <f>IFERROR(_xlfn.LET(_xlpm.x,_xlfn.LET(_xlpm.n,--_xlfn.TEXTBEFORE(_xlfn.TEXTAFTER(A95,"CONTRATO ")," DE"),_xlpm.c,"CONTRATO "&amp;TEXT(_xlpm.n,"00")&amp;" DE 2026",_xlpm.h,'[1]SECOP II'!$A$1:$CQ$1,_xlpm.d,'[1]SECOP II'!$A$2:$CQ$94,_xlpm.r,INDEX(_xlpm.d,0,MATCH("Referencia del Contrato",_xlpm.h,0)),INDEX(_xlpm.d,MATCH(_xlpm.c,_xlpm.r,0),MATCH("Valor Pagado",_xlpm.h,0))),_xlfn.NUMBERVALUE(SUBSTITUTE(_xlpm.x,"$",""),".",",")),"")</f>
        <v>0</v>
      </c>
      <c r="K95" s="16">
        <f t="shared" si="5"/>
        <v>79492000</v>
      </c>
      <c r="L95" s="17">
        <f t="shared" si="6"/>
        <v>0</v>
      </c>
      <c r="M95" s="18">
        <f>[1]Contratos!O95</f>
        <v>46279</v>
      </c>
      <c r="N95" s="18">
        <f>[1]Contratos!P95</f>
        <v>46280</v>
      </c>
      <c r="O95" s="18">
        <f>[1]Contratos!Q95</f>
        <v>46387</v>
      </c>
      <c r="P95" s="18" t="str">
        <f>IFERROR(VLOOKUP(A95, [1]Otrosí!A:L, 7, FALSE), "N/A")</f>
        <v>N/A</v>
      </c>
      <c r="Q95" s="19" t="str">
        <f>IFERROR(_xlfn.LET(_xlpm.h,'[1]SECOP II'!$A$1:$CQ$1,_xlpm.d,'[1]SECOP II'!$A$2:$CQ$94,_xlpm.r,INDEX(_xlpm.d,0,MATCH("Referencia del Contrato",_xlpm.h,0)),INDEX(_xlpm.d,MATCH("CONTRATO 94 DE 2026",_xlpm.r,0),MATCH("Tipo de Contrato",_xlpm.h,0))),"")</f>
        <v>Consultoría</v>
      </c>
      <c r="R95" s="20" t="str">
        <f>IFERROR(_xlfn.LET(_xlpm.n,--_xlfn.TEXTBEFORE(_xlfn.TEXTAFTER(A95,"CONTRATO ")," DE"),_xlpm.c,"CONTRATO "&amp;TEXT(_xlpm.n,"00")&amp;" DE 2026",_xlpm.h,'[1]SECOP II'!$A$1:$CQ$1,_xlpm.d,'[1]SECOP II'!$A$2:$CQ$94,_xlpm.r,INDEX(_xlpm.d,0,MATCH("Referencia del Contrato",_xlpm.h,0)),INDEX(_xlpm.d,MATCH(_xlpm.c,_xlpm.r,0),MATCH("Destino Gasto",_xlpm.h,0))),"")</f>
        <v>Inversión</v>
      </c>
      <c r="S95" s="21" t="str">
        <f>IFERROR(_xlfn.LET(_xlpm.n,--_xlfn.TEXTBEFORE(_xlfn.TEXTAFTER(A95,"CONTRATO ")," DE"),_xlpm.c,"CONTRATO "&amp;TEXT(_xlpm.n,"00")&amp;" DE 2026",_xlpm.h,'[1]SECOP II'!$A$1:$CQ$1,_xlpm.d,'[1]SECOP II'!$A$2:$CQ$94,_xlpm.r,INDEX(_xlpm.d,0,MATCH("Referencia del Contrato",_xlpm.h,0)),INDEX(_xlpm.d,MATCH(_xlpm.c,_xlpm.r,0),MATCH("URLProceso",_xlpm.h,0))),"")</f>
        <v>https://community.secop.gov.co/Public/Tendering/OpportunityDetail/Index?noticeUID=CO1.NTC.10602807&amp;isFromPublicArea=True&amp;isModal=true&amp;asPopupView=true</v>
      </c>
      <c r="T95" s="22" t="str">
        <f>IFERROR(_xlfn.LET(_xlpm.h,'[1]SECOP II'!$A$1:$CQ$1,_xlpm.d,'[1]SECOP II'!$A$2:$CQ$94,_xlpm.r,INDEX(_xlpm.d,0,MATCH("Referencia del Contrato",_xlpm.h,0)),INDEX(_xlpm.d,MATCH("CONTRATO 94 DE 2026",_xlpm.r,0),MATCH("Estado Contrato",_xlpm.h,0))),"")</f>
        <v>En ejecución</v>
      </c>
      <c r="U95" s="10" t="str">
        <f>[1]Contratos!C95</f>
        <v>PJ</v>
      </c>
      <c r="V95" s="10" t="str">
        <f>[1]Contratos!I95</f>
        <v>RELACIONES CON GRUPOS DE VALOR</v>
      </c>
      <c r="W95" s="23" t="str">
        <f>[1]Contratos!J95</f>
        <v>ROCIO QUINCHE</v>
      </c>
      <c r="X95" s="24" cm="1">
        <f t="array" ref="X95">IFERROR(VLOOKUP(W95,[1]COORD!$A$27:$B$67, 2, FALSE),[1]COORD!$B$27:$B$67)</f>
        <v>1032417388</v>
      </c>
      <c r="Y95" s="25" t="s">
        <v>57</v>
      </c>
      <c r="Z95" s="26">
        <v>902100368</v>
      </c>
      <c r="AA95" s="27" cm="1">
        <f t="array" ref="AA95">IF(OR(Z95="",Z95="N/A"),"N/A",IF(ISERROR(VALUE(IF(ISNUMBER(FIND("-",TEXT(Z95,"@"))),LEFT(TEXT(Z95,"@"),FIND("-",TEXT(Z95,"@"))-1),TEXT(Z95,"@")))),"N/A",IF(MOD(SUMPRODUCT(VALUE(MID(TEXT(VALUE(IF(ISNUMBER(FIND("-",TEXT(Z95,"@"))),LEFT(TEXT(Z95,"@"),FIND("-",TEXT(Z95,"@"))-1),TEXT(Z95,"@"))),"000000000000000"),{15,14,13,12,11,10,9,8,7,6,5,4,3,2,1},1)),{3,7,13,17,19,23,29,37,41,43,47,53,59,67,71}),11)=0,0,IF(MOD(SUMPRODUCT(VALUE(MID(TEXT(VALUE(IF(ISNUMBER(FIND("-",TEXT(Z95,"@"))),LEFT(TEXT(Z95,"@"),FIND("-",TEXT(Z95,"@"))-1),TEXT(Z95,"@"))),"000000000000000"),{15,14,13,12,11,10,9,8,7,6,5,4,3,2,1},1)),{3,7,13,17,19,23,29,37,41,43,47,53,59,67,71}),11)=1,1,11-MOD(SUMPRODUCT(VALUE(MID(TEXT(VALUE(IF(ISNUMBER(FIND("-",TEXT(Z95,"@"))),LEFT(TEXT(Z95,"@"),FIND("-",TEXT(Z95,"@"))-1),TEXT(Z95,"@"))),"000000000000000"),{15,14,13,12,11,10,9,8,7,6,5,4,3,2,1},1)),{3,7,13,17,19,23,29,37,41,43,47,53,59,67,71}),11)))))</f>
        <v>6</v>
      </c>
      <c r="AB95" s="27">
        <v>81111806</v>
      </c>
      <c r="AC95" s="29" t="str">
        <f>[1]Contratos!Z95</f>
        <v>N/A</v>
      </c>
      <c r="AD95" s="30">
        <f t="shared" si="7"/>
        <v>108</v>
      </c>
      <c r="AE95" s="31"/>
      <c r="AF95" s="31" t="str" cm="1">
        <f t="array" ref="AF95">IF(AG95="","",IFERROR(_xlfn.LET(_xlpm.x,INDEX([1]RP!$Z$2:$Z$706,MATCH(AG95&amp;"",[1]RP!$A$2:$A$706&amp;"",0)),IF(_xlpm.x="","",_xlpm.x)),""))</f>
        <v>16126</v>
      </c>
      <c r="AG95" s="31" cm="1">
        <f t="array" ref="AG95">IF(A95="","",IFERROR(_xlfn.LET(_xlpm.rp,[1]RP!$A$2:$A$706,_xlpm.dt,IFERROR(DATE(--LEFT([1]RP!$B$2:$B$706,4),--MID([1]RP!$B$2:$B$706,6,2),--MID([1]RP!$B$2:$B$706,9,2)),0),_xlpm.qid,UPPER(SUBSTITUTE(SUBSTITUTE(SUBSTITUTE(SUBSTITUTE([1]RP!$Q$2:$Q$706,".",""),"-","")," ",""),"O","0")),_xlpm.eid,UPPER(SUBSTITUTE(SUBSTITUTE(SUBSTITUTE(SUBSTITUTE(Z95,".",""),"-","")," ",""),"O","0")),_xlpm.qnm,UPPER(SUBSTITUTE(SUBSTITUTE(SUBSTITUTE(SUBSTITUTE(SUBSTITUTE([1]RP!$R$2:$R$706,".",""),"-","")," ",""),"Á","A"),"É","E")),_xlpm.enm,UPPER(SUBSTITUTE(SUBSTITUTE(SUBSTITUTE(SUBSTITUTE(SUBSTITUTE(B95,".",""),"-",""),"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95,"CONTRATO ")," DE")&amp;"/2026",_xlpm.dm,--ISNUMBER(SEARCH(_xlpm.num,_xlpm.sup)),_xlpm.dif,IF(_xlpm.ok,(1-_xlpm.dm)*1000000+IF(AND(ISNUMBER(M95),M95&gt;0),ABS(_xlpm.dt-M95),0),1E+99),_xlpm.md,MIN(_xlpm.dif),INDEX(_xlfn._xlws.FILTER(_xlpm.rp,(_xlpm.ok&gt;0)*(_xlpm.dif=_xlpm.md)),1)),""))</f>
        <v>32526</v>
      </c>
      <c r="AH95" s="32" cm="1">
        <f t="array" ref="AH95">IF(AF95="","",IFERROR(_xlfn.LET(_xlpm.x,INDEX([1]CDP!$B$2:$B$322,MATCH(AF95&amp;"",[1]CDP!$A$2:$A$322&amp;"",0)),IF(ISNUMBER(_xlpm.x),_xlpm.x,DATE(--LEFT(_xlpm.x,4),--MID(_xlpm.x,6,2),--MID(_xlpm.x,9,2)))),""))</f>
        <v>46219</v>
      </c>
    </row>
    <row r="96" spans="1:34" ht="175" x14ac:dyDescent="0.35">
      <c r="A96" s="1" t="str">
        <f>IF([1]Contratos!A96="","",[1]Contratos!A96)</f>
        <v>CONTRATO 95 DE 2026</v>
      </c>
      <c r="B96" s="10" t="str">
        <f>IF($A96="","",[1]Contratos!B96)</f>
        <v>CORPORACIÓN COLOMBIA DIGITAL</v>
      </c>
      <c r="C96" s="10" t="str">
        <f>IF($A96="","",[1]Contratos!E96)</f>
        <v>Contratación directa</v>
      </c>
      <c r="D96" s="10" t="str">
        <f>IFERROR(INDEX([1]Procesos!$B$2:$B$132,MATCH(100,[1]Procesos!$A$2:$A$132,0))&amp;" "&amp;100&amp;" DE 2026","")</f>
        <v>CONTRATACIÓN DIRECTA 100 DE 2026</v>
      </c>
      <c r="E96" s="11" t="str">
        <f>IF($A96="","",[1]Contratos!F96)</f>
        <v>Implementar los componentes técnicos y operativos del modelo de Gobierno de Datos de la Comisión de Regulación de Comunicaciones - CRC, desarrollando la fase preparatoria, la implementación del Modelo de Gobierno de Datos y la preparación de la sub-fase Fundamentos Técnicos, con el propósito de consolidar las capacidades organizacionales, normativas y metodológicas necesarias para la operación sostenible del Gobierno de Datos institucional, dando continuidad a los productos generados en el Contrato 104 de 2025 y a la hoja de ruta institucional definida para la Entidad y en concordancia con los lineamientos del Marco de Referencia de Arquitectura Empresarial del Estado colombiano (MRAE), la Resolución 343 de 2025 y el DAMA (Data Management Association).</v>
      </c>
      <c r="F96" s="49">
        <f>IFERROR(INDEX([1]Procesos!$F$2:$F$132,MATCH(100,[1]Procesos!$A$2:$A$132,0)),"")</f>
        <v>297348156</v>
      </c>
      <c r="G96" s="13">
        <f>IF($A96="","",[1]Contratos!G96)</f>
        <v>297348156</v>
      </c>
      <c r="H96" s="14">
        <f>IF($A96="","",IFERROR(VLOOKUP($A96,[1]Otrosí!$A:$F,6,FALSE),0))</f>
        <v>0</v>
      </c>
      <c r="I96" s="13">
        <f>IF($A96="","",SUM(G96:H96))</f>
        <v>297348156</v>
      </c>
      <c r="J96" s="15">
        <f>IFERROR(_xlfn.LET(_xlpm.x,_xlfn.LET(_xlpm.n,--_xlfn.TEXTBEFORE(_xlfn.TEXTAFTER(A96,"CONTRATO ")," DE"),_xlpm.c,"CONTRATO "&amp;TEXT(_xlpm.n,"00")&amp;" DE 2026",_xlpm.h,'[1]SECOP II'!$A$1:$CQ$1,_xlpm.d,'[1]SECOP II'!$A$2:$CQ$94,_xlpm.r,INDEX(_xlpm.d,0,MATCH("Referencia del Contrato",_xlpm.h,0)),INDEX(_xlpm.d,MATCH(_xlpm.c,_xlpm.r,0),MATCH("Valor Pagado",_xlpm.h,0))),_xlfn.NUMBERVALUE(SUBSTITUTE(_xlpm.x,"$",""),".",",")),"")</f>
        <v>0</v>
      </c>
      <c r="K96" s="16">
        <f>IF($A96="","",I96-J96)</f>
        <v>297348156</v>
      </c>
      <c r="L96" s="17">
        <f t="shared" si="6"/>
        <v>0</v>
      </c>
      <c r="M96" s="18" t="s">
        <v>154</v>
      </c>
      <c r="N96" s="18">
        <f>[1]Contratos!P96</f>
        <v>46297</v>
      </c>
      <c r="O96" s="18" t="s">
        <v>155</v>
      </c>
      <c r="P96" s="18" t="str">
        <f>IF($A96="","",IFERROR(VLOOKUP($A96,[1]Otrosí!$A:$L,7,FALSE),"N/A"))</f>
        <v>N/A</v>
      </c>
      <c r="Q96" s="19" t="str">
        <f>IFERROR(_xlfn.LET(_xlpm.h,'[1]SECOP II'!$A$1:$CQ$1,_xlpm.d,'[1]SECOP II'!$A$2:$CQ$94,_xlpm.r,INDEX(_xlpm.d,0,MATCH("Referencia del Contrato",_xlpm.h,0)),INDEX(_xlpm.d,MATCH("CONTRATO 95 DE 2026",_xlpm.r,0),MATCH("Tipo de Contrato",_xlpm.h,0))),"")</f>
        <v>Prestación de servicios</v>
      </c>
      <c r="R96" s="20" t="str">
        <f>IFERROR(_xlfn.LET(_xlpm.n,--_xlfn.TEXTBEFORE(_xlfn.TEXTAFTER(A96,"CONTRATO ")," DE"),_xlpm.c,"CONTRATO "&amp;TEXT(_xlpm.n,"00")&amp;" DE 2026",_xlpm.h,'[1]SECOP II'!$A$1:$CQ$1,_xlpm.d,'[1]SECOP II'!$A$2:$CQ$94,_xlpm.r,INDEX(_xlpm.d,0,MATCH("Referencia del Contrato",_xlpm.h,0)),INDEX(_xlpm.d,MATCH(_xlpm.c,_xlpm.r,0),MATCH("Destino Gasto",_xlpm.h,0))),"")</f>
        <v>Inversión</v>
      </c>
      <c r="S96" s="34" t="str">
        <f>IFERROR(_xlfn.LET(_xlpm.n,--_xlfn.TEXTBEFORE(_xlfn.TEXTAFTER(A96,"CONTRATO ")," DE"),_xlpm.c,"CONTRATO "&amp;TEXT(_xlpm.n,"00")&amp;" DE 2026",_xlpm.h,'[1]SECOP II'!$A$1:$CQ$1,_xlpm.d,'[1]SECOP II'!$A$2:$CQ$94,_xlpm.r,INDEX(_xlpm.d,0,MATCH("Referencia del Contrato",_xlpm.h,0)),INDEX(_xlpm.d,MATCH(_xlpm.c,_xlpm.r,0),MATCH("URLProceso",_xlpm.h,0))),"")</f>
        <v>https://community.secop.gov.co/Public/Tendering/OpportunityDetail/Index?noticeUID=CO1.NTC.10960550&amp;isFromPublicArea=True&amp;isModal=true&amp;asPopupView=true</v>
      </c>
      <c r="T96" s="22" t="str">
        <f>IFERROR(_xlfn.LET(_xlpm.h,'[1]SECOP II'!$A$1:$CQ$1,_xlpm.d,'[1]SECOP II'!$A$2:$CQ$94,_xlpm.r,INDEX(_xlpm.d,0,MATCH("Referencia del Contrato",_xlpm.h,0)),INDEX(_xlpm.d,MATCH("CONTRATO 95 DE 2026",_xlpm.r,0),MATCH("Estado Contrato",_xlpm.h,0))),"")</f>
        <v>Aprobado</v>
      </c>
      <c r="U96" s="10" t="str">
        <f>IF($A96="","",[1]Contratos!C96)</f>
        <v>PJ</v>
      </c>
      <c r="V96" s="10" t="str">
        <f>IF($A96="","",[1]Contratos!I96)</f>
        <v>TECNOLOGÍAS Y SIST. DE INF.</v>
      </c>
      <c r="W96" s="23" t="str">
        <f>IF($A96="","",[1]Contratos!J96)</f>
        <v>FABIÁN TRUJILLO</v>
      </c>
      <c r="X96" s="24">
        <f>IF($A96="","",IFERROR(VLOOKUP(W96,[1]COORD!$A$27:$B$67,2,FALSE),""))</f>
        <v>11240051</v>
      </c>
      <c r="Y96" s="25" t="s">
        <v>57</v>
      </c>
      <c r="Z96" s="26">
        <v>830101214</v>
      </c>
      <c r="AA96" s="27" cm="1">
        <f t="array" ref="AA96">IF(OR(Z96="",Z96="N/A"),"N/A",IF(ISERROR(VALUE(IF(ISNUMBER(FIND("-",TEXT(Z96,"@"))),LEFT(TEXT(Z96,"@"),FIND("-",TEXT(Z96,"@"))-1),TEXT(Z96,"@")))),"N/A",IF(MOD(SUMPRODUCT(VALUE(MID(TEXT(VALUE(IF(ISNUMBER(FIND("-",TEXT(Z96,"@"))),LEFT(TEXT(Z96,"@"),FIND("-",TEXT(Z96,"@"))-1),TEXT(Z96,"@"))),"000000000000000"),{15,14,13,12,11,10,9,8,7,6,5,4,3,2,1},1)),{3,7,13,17,19,23,29,37,41,43,47,53,59,67,71}),11)=0,0,IF(MOD(SUMPRODUCT(VALUE(MID(TEXT(VALUE(IF(ISNUMBER(FIND("-",TEXT(Z96,"@"))),LEFT(TEXT(Z96,"@"),FIND("-",TEXT(Z96,"@"))-1),TEXT(Z96,"@"))),"000000000000000"),{15,14,13,12,11,10,9,8,7,6,5,4,3,2,1},1)),{3,7,13,17,19,23,29,37,41,43,47,53,59,67,71}),11)=1,1,11-MOD(SUMPRODUCT(VALUE(MID(TEXT(VALUE(IF(ISNUMBER(FIND("-",TEXT(Z96,"@"))),LEFT(TEXT(Z96,"@"),FIND("-",TEXT(Z96,"@"))-1),TEXT(Z96,"@"))),"000000000000000"),{15,14,13,12,11,10,9,8,7,6,5,4,3,2,1},1)),{3,7,13,17,19,23,29,37,41,43,47,53,59,67,71}),11)))))</f>
        <v>4</v>
      </c>
      <c r="AB96" s="27">
        <v>80101504</v>
      </c>
      <c r="AC96" s="29" t="str">
        <f>IF($A96="","",[1]Contratos!Z96)</f>
        <v>N/A</v>
      </c>
      <c r="AD96" s="30" t="e">
        <f>IF(OR($A96="",M96="",O96=""),"",O96-M96)</f>
        <v>#VALUE!</v>
      </c>
      <c r="AE96" s="31"/>
      <c r="AF96" s="31" t="str" cm="1">
        <f t="array" ref="AF96">IF(AG96="","",IFERROR(_xlfn.LET(_xlpm.x,INDEX([1]RP!$Z$2:$Z$706,MATCH(AG96&amp;"",[1]RP!$A$2:$A$706&amp;"",0)),IF(_xlpm.x="","",_xlpm.x)),""))</f>
        <v>19426</v>
      </c>
      <c r="AG96" s="31" cm="1">
        <f t="array" ref="AG96">IF(A96="","",IFERROR(_xlfn.LET(_xlpm.rp,[1]RP!$A$2:$A$706,_xlpm.dt,IFERROR(DATE(--LEFT([1]RP!$B$2:$B$706,4),--MID([1]RP!$B$2:$B$706,6,2),--MID([1]RP!$B$2:$B$706,9,2)),0),_xlpm.qid,UPPER(SUBSTITUTE(SUBSTITUTE(SUBSTITUTE(SUBSTITUTE([1]RP!$Q$2:$Q$706,".",""),"-","")," ",""),"O","0")),_xlpm.eid,UPPER(SUBSTITUTE(SUBSTITUTE(SUBSTITUTE(SUBSTITUTE(Z96,".",""),"-","")," ",""),"O","0")),_xlpm.qnm,UPPER(SUBSTITUTE(SUBSTITUTE(SUBSTITUTE(SUBSTITUTE(SUBSTITUTE([1]RP!$R$2:$R$706,".",""),"-","")," ",""),"Á","A"),"É","E")),_xlpm.enm,UPPER(SUBSTITUTE(SUBSTITUTE(SUBSTITUTE(SUBSTITUTE(SUBSTITUTE(B96,".",""),"-","")," ",""),"Á","A"),"É","E")),_xlpm.typ,UPPER(TRIM([1]RP!$AG$2:$AG$706)),_xlpm.allow,--ISNUMBER(SEARCH("|"&amp;_xlpm.typ&amp;"|","|ACEPTACION DE OFERTAS|CONTRATO DE CONSULTORIA|CONTRATO DE PRESTACION DE SERVICIOS|CONTRATO DE PRESTACION DE SERVICIOS - PROFESIONALES|CONTRATO INTERADMINISTRATIVO|LOA - CARTA ACEPTACION|ORDEN DE COMPRA|SOLICITUD|")),_xlpm.idok,(_xlpm.qid=_xlpm.eid),_xlpm.nmok,--ISNUMBER(SEARCH(_xlpm.enm,_xlpm.qnm)),_xlpm.ok,_xlpm.allow*IF((_xlpm.eid&lt;&gt;"")*(SUM(--(_xlpm.allow*_xlpm.idok))&gt;0),--_xlpm.idok,_xlpm.nmok),_xlpm.sup,[1]RP!$AH$2:$AH$706,_xlpm.num,_xlfn.TEXTBEFORE(_xlfn.TEXTAFTER(A96,"CONTRATO ")," DE")&amp;"/2026",_xlpm.dm,--ISNUMBER(SEARCH(_xlpm.num,_xlpm.sup)),_xlpm.dif,IF(_xlpm.ok,(1-_xlpm.dm)*1000000+IF(AND(ISNUMBER(M96),M96&gt;0),ABS(_xlpm.dt-M96),0),1E+99),_xlpm.md,MIN(_xlpm.dif),INDEX(_xlfn._xlws.FILTER(_xlpm.rp,(_xlpm.ok&gt;0)*(_xlpm.dif=_xlpm.md)),1)),""))</f>
        <v>34426</v>
      </c>
      <c r="AH96" s="32" cm="1">
        <f t="array" ref="AH96">IF(AF96="","",IFERROR(_xlfn.LET(_xlpm.x,INDEX([1]CDP!$B$2:$B$322,MATCH(AF96&amp;"",[1]CDP!$A$2:$A$322&amp;"",0)),IF(ISNUMBER(_xlpm.x),_xlpm.x,DATE(--LEFT(_xlpm.x,4),--MID(_xlpm.x,6,2),--MID(_xlpm.x,9,2)))),""))</f>
        <v>46286</v>
      </c>
    </row>
    <row r="104" spans="2:34" s="50" customFormat="1" ht="54.75" customHeight="1" x14ac:dyDescent="0.35">
      <c r="B104" s="51"/>
      <c r="C104" s="51"/>
      <c r="D104" s="51"/>
      <c r="E104" s="52"/>
      <c r="F104" s="52"/>
      <c r="G104" s="53"/>
      <c r="H104" s="54"/>
      <c r="I104" s="53"/>
      <c r="J104" s="53"/>
      <c r="K104" s="53"/>
      <c r="L104" s="55"/>
      <c r="M104" s="53"/>
      <c r="N104" s="33"/>
      <c r="O104" s="33"/>
      <c r="P104" s="33"/>
      <c r="Q104" s="33"/>
      <c r="R104" s="33"/>
      <c r="S104" s="33"/>
      <c r="T104" s="33"/>
      <c r="U104" s="33"/>
      <c r="V104" s="33"/>
      <c r="W104" s="33"/>
      <c r="X104" s="33"/>
      <c r="Y104" s="33"/>
      <c r="Z104" s="54"/>
      <c r="AA104" s="33"/>
      <c r="AB104" s="33"/>
      <c r="AC104" s="33"/>
      <c r="AD104" s="33"/>
      <c r="AE104" s="33"/>
      <c r="AF104" s="33"/>
      <c r="AG104" s="33"/>
      <c r="AH104" s="33"/>
    </row>
    <row r="105" spans="2:34" s="50" customFormat="1" ht="54.75" customHeight="1" x14ac:dyDescent="0.35">
      <c r="B105" s="51"/>
      <c r="C105" s="51"/>
      <c r="D105" s="51"/>
      <c r="E105" s="52"/>
      <c r="F105" s="52"/>
      <c r="G105" s="53"/>
      <c r="H105" s="54"/>
      <c r="I105" s="53"/>
      <c r="J105" s="53"/>
      <c r="K105" s="53"/>
      <c r="L105" s="55"/>
      <c r="M105" s="53"/>
      <c r="N105" s="33"/>
      <c r="O105" s="33"/>
      <c r="P105" s="33"/>
      <c r="Q105" s="33"/>
      <c r="R105" s="33"/>
      <c r="S105" s="33"/>
      <c r="T105" s="33"/>
      <c r="U105" s="33"/>
      <c r="V105" s="33"/>
      <c r="W105" s="33"/>
      <c r="X105" s="33"/>
      <c r="Y105" s="33"/>
      <c r="Z105" s="54"/>
      <c r="AA105" s="33"/>
      <c r="AB105" s="33"/>
      <c r="AC105" s="33"/>
      <c r="AD105" s="33"/>
      <c r="AE105" s="33"/>
      <c r="AF105" s="33"/>
      <c r="AG105" s="33"/>
      <c r="AH105" s="33"/>
    </row>
    <row r="106" spans="2:34" s="50" customFormat="1" ht="54.75" customHeight="1" x14ac:dyDescent="0.35">
      <c r="B106" s="51"/>
      <c r="C106" s="51"/>
      <c r="D106" s="51"/>
      <c r="E106" s="52"/>
      <c r="F106" s="52"/>
      <c r="G106" s="53"/>
      <c r="H106" s="54"/>
      <c r="I106" s="53"/>
      <c r="J106" s="53"/>
      <c r="K106" s="53"/>
      <c r="L106" s="55"/>
      <c r="M106" s="53"/>
      <c r="N106" s="33"/>
      <c r="O106" s="33"/>
      <c r="P106" s="33"/>
      <c r="Q106" s="33"/>
      <c r="R106" s="33"/>
      <c r="S106" s="33"/>
      <c r="T106" s="33"/>
      <c r="U106" s="33"/>
      <c r="V106" s="33"/>
      <c r="W106" s="33"/>
      <c r="X106" s="33"/>
      <c r="Y106" s="33"/>
      <c r="Z106" s="54"/>
      <c r="AA106" s="33"/>
      <c r="AB106" s="33"/>
      <c r="AC106" s="33"/>
      <c r="AD106" s="33"/>
      <c r="AE106" s="33"/>
      <c r="AF106" s="33"/>
      <c r="AG106" s="33"/>
      <c r="AH106" s="33"/>
    </row>
    <row r="107" spans="2:34" s="50" customFormat="1" ht="54.75" customHeight="1" x14ac:dyDescent="0.35">
      <c r="B107" s="51"/>
      <c r="C107" s="51"/>
      <c r="D107" s="51"/>
      <c r="E107" s="52"/>
      <c r="F107" s="52"/>
      <c r="G107" s="53"/>
      <c r="H107" s="54"/>
      <c r="I107" s="53"/>
      <c r="J107" s="53"/>
      <c r="K107" s="53"/>
      <c r="L107" s="55"/>
      <c r="M107" s="53"/>
      <c r="N107" s="33"/>
      <c r="O107" s="33"/>
      <c r="P107" s="33"/>
      <c r="Q107" s="33"/>
      <c r="R107" s="33"/>
      <c r="S107" s="33"/>
      <c r="T107" s="33"/>
      <c r="U107" s="33"/>
      <c r="V107" s="33"/>
      <c r="W107" s="33"/>
      <c r="X107" s="33"/>
      <c r="Y107" s="33"/>
      <c r="Z107" s="54"/>
      <c r="AA107" s="33"/>
      <c r="AB107" s="33"/>
      <c r="AC107" s="33"/>
      <c r="AD107" s="33"/>
      <c r="AE107" s="33"/>
      <c r="AF107" s="33"/>
      <c r="AG107" s="33"/>
      <c r="AH107" s="33"/>
    </row>
    <row r="108" spans="2:34" s="50" customFormat="1" ht="54.75" customHeight="1" x14ac:dyDescent="0.35">
      <c r="B108" s="51"/>
      <c r="C108" s="51"/>
      <c r="D108" s="51"/>
      <c r="E108" s="52"/>
      <c r="F108" s="52"/>
      <c r="G108" s="53"/>
      <c r="H108" s="54"/>
      <c r="I108" s="53"/>
      <c r="J108" s="53"/>
      <c r="K108" s="53"/>
      <c r="L108" s="55"/>
      <c r="M108" s="53"/>
      <c r="N108" s="33"/>
      <c r="O108" s="33"/>
      <c r="P108" s="33"/>
      <c r="Q108" s="33"/>
      <c r="R108" s="33"/>
      <c r="S108" s="33"/>
      <c r="T108" s="33"/>
      <c r="U108" s="33"/>
      <c r="V108" s="33"/>
      <c r="W108" s="33"/>
      <c r="X108" s="33"/>
      <c r="Y108" s="33"/>
      <c r="Z108" s="54"/>
      <c r="AA108" s="33"/>
      <c r="AB108" s="33"/>
      <c r="AC108" s="33"/>
      <c r="AD108" s="33"/>
      <c r="AE108" s="33"/>
      <c r="AF108" s="33"/>
      <c r="AG108" s="33"/>
      <c r="AH108" s="33"/>
    </row>
    <row r="109" spans="2:34" s="50" customFormat="1" ht="54.75" customHeight="1" x14ac:dyDescent="0.35">
      <c r="B109" s="51"/>
      <c r="C109" s="51"/>
      <c r="D109" s="51"/>
      <c r="E109" s="52"/>
      <c r="F109" s="52"/>
      <c r="G109" s="53"/>
      <c r="H109" s="54"/>
      <c r="I109" s="53"/>
      <c r="J109" s="53"/>
      <c r="K109" s="53"/>
      <c r="L109" s="55"/>
      <c r="M109" s="53"/>
      <c r="N109" s="33"/>
      <c r="O109" s="33"/>
      <c r="P109" s="33"/>
      <c r="Q109" s="33"/>
      <c r="R109" s="33"/>
      <c r="S109" s="33"/>
      <c r="T109" s="33"/>
      <c r="U109" s="33"/>
      <c r="V109" s="33"/>
      <c r="W109" s="33"/>
      <c r="X109" s="33"/>
      <c r="Y109" s="33"/>
      <c r="Z109" s="54"/>
      <c r="AA109" s="33"/>
      <c r="AB109" s="33"/>
      <c r="AC109" s="33"/>
      <c r="AD109" s="33"/>
      <c r="AE109" s="33"/>
      <c r="AF109" s="33"/>
      <c r="AG109" s="33"/>
      <c r="AH109" s="33"/>
    </row>
    <row r="110" spans="2:34" s="50" customFormat="1" ht="54.75" customHeight="1" x14ac:dyDescent="0.35">
      <c r="B110" s="51"/>
      <c r="C110" s="51"/>
      <c r="D110" s="51"/>
      <c r="E110" s="52"/>
      <c r="F110" s="52"/>
      <c r="G110" s="53"/>
      <c r="H110" s="54"/>
      <c r="I110" s="53"/>
      <c r="J110" s="53"/>
      <c r="K110" s="53"/>
      <c r="L110" s="55"/>
      <c r="M110" s="53"/>
      <c r="N110" s="33"/>
      <c r="O110" s="33"/>
      <c r="P110" s="33"/>
      <c r="Q110" s="33"/>
      <c r="R110" s="33"/>
      <c r="S110" s="33"/>
      <c r="T110" s="33"/>
      <c r="U110" s="33"/>
      <c r="V110" s="33"/>
      <c r="W110" s="33"/>
      <c r="X110" s="33"/>
      <c r="Y110" s="33"/>
      <c r="Z110" s="54"/>
      <c r="AA110" s="33"/>
      <c r="AB110" s="33"/>
      <c r="AC110" s="33"/>
      <c r="AD110" s="33"/>
      <c r="AE110" s="33"/>
      <c r="AF110" s="33"/>
      <c r="AG110" s="33"/>
      <c r="AH110" s="33"/>
    </row>
    <row r="111" spans="2:34" s="50" customFormat="1" ht="54.75" customHeight="1" x14ac:dyDescent="0.35">
      <c r="B111" s="51"/>
      <c r="C111" s="51"/>
      <c r="D111" s="51"/>
      <c r="E111" s="52"/>
      <c r="F111" s="52"/>
      <c r="G111" s="53"/>
      <c r="H111" s="54"/>
      <c r="I111" s="53"/>
      <c r="J111" s="53"/>
      <c r="K111" s="53"/>
      <c r="L111" s="55"/>
      <c r="M111" s="53"/>
      <c r="N111" s="33"/>
      <c r="O111" s="33"/>
      <c r="P111" s="33"/>
      <c r="Q111" s="33"/>
      <c r="R111" s="33"/>
      <c r="S111" s="33"/>
      <c r="T111" s="33"/>
      <c r="U111" s="33"/>
      <c r="V111" s="33"/>
      <c r="W111" s="33"/>
      <c r="X111" s="33"/>
      <c r="Y111" s="33"/>
      <c r="Z111" s="54"/>
      <c r="AA111" s="33"/>
      <c r="AB111" s="33"/>
      <c r="AC111" s="33"/>
      <c r="AD111" s="33"/>
      <c r="AE111" s="33"/>
      <c r="AF111" s="33"/>
      <c r="AG111" s="33"/>
      <c r="AH111" s="33"/>
    </row>
    <row r="112" spans="2:34" s="50" customFormat="1" ht="54.75" customHeight="1" x14ac:dyDescent="0.35">
      <c r="B112" s="51"/>
      <c r="C112" s="51"/>
      <c r="D112" s="51"/>
      <c r="E112" s="52"/>
      <c r="F112" s="52"/>
      <c r="G112" s="53"/>
      <c r="H112" s="54"/>
      <c r="I112" s="53"/>
      <c r="J112" s="53"/>
      <c r="K112" s="53"/>
      <c r="L112" s="55"/>
      <c r="M112" s="53"/>
      <c r="N112" s="33"/>
      <c r="O112" s="33"/>
      <c r="P112" s="33"/>
      <c r="Q112" s="33"/>
      <c r="R112" s="33"/>
      <c r="S112" s="33"/>
      <c r="T112" s="33"/>
      <c r="U112" s="33"/>
      <c r="V112" s="33"/>
      <c r="W112" s="33"/>
      <c r="X112" s="33"/>
      <c r="Y112" s="33"/>
      <c r="Z112" s="54"/>
      <c r="AA112" s="33"/>
      <c r="AB112" s="33"/>
      <c r="AC112" s="33"/>
      <c r="AD112" s="33"/>
      <c r="AE112" s="33"/>
      <c r="AF112" s="33"/>
      <c r="AG112" s="33"/>
      <c r="AH112" s="33"/>
    </row>
    <row r="113" spans="2:34" s="50" customFormat="1" ht="54.75" customHeight="1" x14ac:dyDescent="0.35">
      <c r="B113" s="51"/>
      <c r="C113" s="51"/>
      <c r="D113" s="51"/>
      <c r="E113" s="52"/>
      <c r="F113" s="52"/>
      <c r="G113" s="53"/>
      <c r="H113" s="54"/>
      <c r="I113" s="53"/>
      <c r="J113" s="53"/>
      <c r="K113" s="53"/>
      <c r="L113" s="55"/>
      <c r="M113" s="53"/>
      <c r="N113" s="33"/>
      <c r="O113" s="33"/>
      <c r="P113" s="33"/>
      <c r="Q113" s="33"/>
      <c r="R113" s="33"/>
      <c r="S113" s="33"/>
      <c r="T113" s="33"/>
      <c r="U113" s="33"/>
      <c r="V113" s="33"/>
      <c r="W113" s="33"/>
      <c r="X113" s="33"/>
      <c r="Y113" s="33"/>
      <c r="Z113" s="54"/>
      <c r="AA113" s="33"/>
      <c r="AB113" s="33"/>
      <c r="AC113" s="33"/>
      <c r="AD113" s="33"/>
      <c r="AE113" s="33"/>
      <c r="AF113" s="33"/>
      <c r="AG113" s="33"/>
      <c r="AH113" s="33"/>
    </row>
    <row r="114" spans="2:34" s="50" customFormat="1" ht="54.75" customHeight="1" x14ac:dyDescent="0.35">
      <c r="B114" s="51"/>
      <c r="C114" s="51"/>
      <c r="D114" s="51"/>
      <c r="E114" s="52"/>
      <c r="F114" s="52"/>
      <c r="G114" s="53"/>
      <c r="H114" s="54"/>
      <c r="I114" s="53"/>
      <c r="J114" s="53"/>
      <c r="K114" s="53"/>
      <c r="L114" s="55"/>
      <c r="M114" s="53"/>
      <c r="N114" s="33"/>
      <c r="O114" s="33"/>
      <c r="P114" s="33"/>
      <c r="Q114" s="33"/>
      <c r="R114" s="33"/>
      <c r="S114" s="33"/>
      <c r="T114" s="33"/>
      <c r="U114" s="33"/>
      <c r="V114" s="33"/>
      <c r="W114" s="33"/>
      <c r="X114" s="33"/>
      <c r="Y114" s="33"/>
      <c r="Z114" s="54"/>
      <c r="AA114" s="33"/>
      <c r="AB114" s="33"/>
      <c r="AC114" s="33"/>
      <c r="AD114" s="33"/>
      <c r="AE114" s="33"/>
      <c r="AF114" s="33"/>
      <c r="AG114" s="33"/>
      <c r="AH114" s="33"/>
    </row>
    <row r="115" spans="2:34" s="50" customFormat="1" ht="54.75" customHeight="1" x14ac:dyDescent="0.35">
      <c r="B115" s="51"/>
      <c r="C115" s="51"/>
      <c r="D115" s="51"/>
      <c r="E115" s="52"/>
      <c r="F115" s="52"/>
      <c r="G115" s="53"/>
      <c r="H115" s="54"/>
      <c r="I115" s="53"/>
      <c r="J115" s="53"/>
      <c r="K115" s="53"/>
      <c r="L115" s="55"/>
      <c r="M115" s="53"/>
      <c r="N115" s="33"/>
      <c r="O115" s="33"/>
      <c r="P115" s="33"/>
      <c r="Q115" s="33"/>
      <c r="R115" s="33"/>
      <c r="S115" s="33"/>
      <c r="T115" s="33"/>
      <c r="U115" s="33"/>
      <c r="V115" s="33"/>
      <c r="W115" s="33"/>
      <c r="X115" s="33"/>
      <c r="Y115" s="33"/>
      <c r="Z115" s="54"/>
      <c r="AA115" s="33"/>
      <c r="AB115" s="33"/>
      <c r="AC115" s="33"/>
      <c r="AD115" s="33"/>
      <c r="AE115" s="33"/>
      <c r="AF115" s="33"/>
      <c r="AG115" s="33"/>
      <c r="AH115" s="33"/>
    </row>
    <row r="116" spans="2:34" s="50" customFormat="1" ht="54.75" customHeight="1" x14ac:dyDescent="0.35">
      <c r="B116" s="51"/>
      <c r="C116" s="51"/>
      <c r="D116" s="51"/>
      <c r="E116" s="52"/>
      <c r="F116" s="52"/>
      <c r="G116" s="53"/>
      <c r="H116" s="54"/>
      <c r="I116" s="53"/>
      <c r="J116" s="53"/>
      <c r="K116" s="53"/>
      <c r="L116" s="55"/>
      <c r="M116" s="53"/>
      <c r="N116" s="33"/>
      <c r="O116" s="33"/>
      <c r="P116" s="33"/>
      <c r="Q116" s="33"/>
      <c r="R116" s="33"/>
      <c r="S116" s="33"/>
      <c r="T116" s="33"/>
      <c r="U116" s="33"/>
      <c r="V116" s="33"/>
      <c r="W116" s="33"/>
      <c r="X116" s="33"/>
      <c r="Y116" s="33"/>
      <c r="Z116" s="54"/>
      <c r="AA116" s="33"/>
      <c r="AB116" s="33"/>
      <c r="AC116" s="33"/>
      <c r="AD116" s="33"/>
      <c r="AE116" s="33"/>
      <c r="AF116" s="33"/>
      <c r="AG116" s="33"/>
      <c r="AH116" s="33"/>
    </row>
    <row r="117" spans="2:34" s="50" customFormat="1" ht="54.75" customHeight="1" x14ac:dyDescent="0.35">
      <c r="B117" s="51"/>
      <c r="C117" s="51"/>
      <c r="D117" s="51"/>
      <c r="E117" s="52"/>
      <c r="F117" s="52"/>
      <c r="G117" s="53"/>
      <c r="H117" s="54"/>
      <c r="I117" s="53"/>
      <c r="J117" s="53"/>
      <c r="K117" s="53"/>
      <c r="L117" s="55"/>
      <c r="M117" s="53"/>
      <c r="N117" s="33"/>
      <c r="O117" s="33"/>
      <c r="P117" s="33"/>
      <c r="Q117" s="33"/>
      <c r="R117" s="33"/>
      <c r="S117" s="33"/>
      <c r="T117" s="33"/>
      <c r="U117" s="33"/>
      <c r="V117" s="33"/>
      <c r="W117" s="33"/>
      <c r="X117" s="33"/>
      <c r="Y117" s="33"/>
      <c r="Z117" s="54"/>
      <c r="AA117" s="33"/>
      <c r="AB117" s="33"/>
      <c r="AC117" s="33"/>
      <c r="AD117" s="33"/>
      <c r="AE117" s="33"/>
      <c r="AF117" s="33"/>
      <c r="AG117" s="33"/>
      <c r="AH117" s="33"/>
    </row>
    <row r="118" spans="2:34" s="50" customFormat="1" ht="54.75" customHeight="1" x14ac:dyDescent="0.35">
      <c r="B118" s="51"/>
      <c r="C118" s="51"/>
      <c r="D118" s="51"/>
      <c r="E118" s="52"/>
      <c r="F118" s="52"/>
      <c r="G118" s="53"/>
      <c r="H118" s="54"/>
      <c r="I118" s="53"/>
      <c r="J118" s="53"/>
      <c r="K118" s="53"/>
      <c r="L118" s="55"/>
      <c r="M118" s="53"/>
      <c r="N118" s="33"/>
      <c r="O118" s="33"/>
      <c r="P118" s="33"/>
      <c r="Q118" s="33"/>
      <c r="R118" s="33"/>
      <c r="S118" s="33"/>
      <c r="T118" s="33"/>
      <c r="U118" s="33"/>
      <c r="V118" s="33"/>
      <c r="W118" s="33"/>
      <c r="X118" s="33"/>
      <c r="Y118" s="33"/>
      <c r="Z118" s="54"/>
      <c r="AA118" s="33"/>
      <c r="AB118" s="33"/>
      <c r="AC118" s="33"/>
      <c r="AD118" s="33"/>
      <c r="AE118" s="33"/>
      <c r="AF118" s="33"/>
      <c r="AG118" s="33"/>
      <c r="AH118" s="33"/>
    </row>
    <row r="119" spans="2:34" s="50" customFormat="1" ht="54.75" customHeight="1" x14ac:dyDescent="0.35">
      <c r="B119" s="51"/>
      <c r="C119" s="51"/>
      <c r="D119" s="51"/>
      <c r="E119" s="52"/>
      <c r="F119" s="52"/>
      <c r="G119" s="53"/>
      <c r="H119" s="54"/>
      <c r="I119" s="53"/>
      <c r="J119" s="53"/>
      <c r="K119" s="53"/>
      <c r="L119" s="55"/>
      <c r="M119" s="53"/>
      <c r="N119" s="33"/>
      <c r="O119" s="33"/>
      <c r="P119" s="33"/>
      <c r="Q119" s="33"/>
      <c r="R119" s="33"/>
      <c r="S119" s="33"/>
      <c r="T119" s="33"/>
      <c r="U119" s="33"/>
      <c r="V119" s="33"/>
      <c r="W119" s="33"/>
      <c r="X119" s="33"/>
      <c r="Y119" s="33"/>
      <c r="Z119" s="54"/>
      <c r="AA119" s="33"/>
      <c r="AB119" s="33"/>
      <c r="AC119" s="33"/>
      <c r="AD119" s="33"/>
      <c r="AE119" s="33"/>
      <c r="AF119" s="33"/>
      <c r="AG119" s="33"/>
      <c r="AH119" s="33"/>
    </row>
    <row r="120" spans="2:34" s="50" customFormat="1" ht="54.75" customHeight="1" x14ac:dyDescent="0.35">
      <c r="B120" s="51"/>
      <c r="C120" s="51"/>
      <c r="D120" s="51"/>
      <c r="E120" s="52"/>
      <c r="F120" s="52"/>
      <c r="G120" s="53"/>
      <c r="H120" s="54"/>
      <c r="I120" s="53"/>
      <c r="J120" s="53"/>
      <c r="K120" s="53"/>
      <c r="L120" s="55"/>
      <c r="M120" s="53"/>
      <c r="N120" s="33"/>
      <c r="O120" s="33"/>
      <c r="P120" s="33"/>
      <c r="Q120" s="33"/>
      <c r="R120" s="33"/>
      <c r="S120" s="33"/>
      <c r="T120" s="33"/>
      <c r="U120" s="33"/>
      <c r="V120" s="33"/>
      <c r="W120" s="33"/>
      <c r="X120" s="33"/>
      <c r="Y120" s="33"/>
      <c r="Z120" s="54"/>
      <c r="AA120" s="33"/>
      <c r="AB120" s="33"/>
      <c r="AC120" s="33"/>
      <c r="AD120" s="33"/>
      <c r="AE120" s="33"/>
      <c r="AF120" s="33"/>
      <c r="AG120" s="33"/>
      <c r="AH120" s="33"/>
    </row>
    <row r="121" spans="2:34" s="50" customFormat="1" ht="54.75" customHeight="1" x14ac:dyDescent="0.35">
      <c r="B121" s="51"/>
      <c r="C121" s="51"/>
      <c r="D121" s="51"/>
      <c r="E121" s="52"/>
      <c r="F121" s="52"/>
      <c r="G121" s="53"/>
      <c r="H121" s="54"/>
      <c r="I121" s="53"/>
      <c r="J121" s="53"/>
      <c r="K121" s="53"/>
      <c r="L121" s="55"/>
      <c r="M121" s="53"/>
      <c r="N121" s="33"/>
      <c r="O121" s="33"/>
      <c r="P121" s="33"/>
      <c r="Q121" s="33"/>
      <c r="R121" s="33"/>
      <c r="S121" s="33"/>
      <c r="T121" s="33"/>
      <c r="U121" s="33"/>
      <c r="V121" s="33"/>
      <c r="W121" s="33"/>
      <c r="X121" s="33"/>
      <c r="Y121" s="33"/>
      <c r="Z121" s="54"/>
      <c r="AA121" s="33"/>
      <c r="AB121" s="33"/>
      <c r="AC121" s="33"/>
      <c r="AD121" s="33"/>
      <c r="AE121" s="33"/>
      <c r="AF121" s="33"/>
      <c r="AG121" s="33"/>
      <c r="AH121" s="33"/>
    </row>
    <row r="122" spans="2:34" s="50" customFormat="1" ht="54.75" customHeight="1" x14ac:dyDescent="0.35">
      <c r="B122" s="51"/>
      <c r="C122" s="51"/>
      <c r="D122" s="51"/>
      <c r="E122" s="52"/>
      <c r="F122" s="52"/>
      <c r="G122" s="53"/>
      <c r="H122" s="54"/>
      <c r="I122" s="53"/>
      <c r="J122" s="53"/>
      <c r="K122" s="53"/>
      <c r="L122" s="55"/>
      <c r="M122" s="53"/>
      <c r="N122" s="33"/>
      <c r="O122" s="33"/>
      <c r="P122" s="33"/>
      <c r="Q122" s="33"/>
      <c r="R122" s="33"/>
      <c r="S122" s="33"/>
      <c r="T122" s="33"/>
      <c r="U122" s="33"/>
      <c r="V122" s="33"/>
      <c r="W122" s="33"/>
      <c r="X122" s="33"/>
      <c r="Y122" s="33"/>
      <c r="Z122" s="54"/>
      <c r="AA122" s="33"/>
      <c r="AB122" s="33"/>
      <c r="AC122" s="33"/>
      <c r="AD122" s="33"/>
      <c r="AE122" s="33"/>
      <c r="AF122" s="33"/>
      <c r="AG122" s="33"/>
      <c r="AH122" s="33"/>
    </row>
    <row r="123" spans="2:34" s="50" customFormat="1" ht="54.75" customHeight="1" x14ac:dyDescent="0.35">
      <c r="B123" s="51"/>
      <c r="C123" s="51"/>
      <c r="D123" s="51"/>
      <c r="E123" s="52"/>
      <c r="F123" s="52"/>
      <c r="G123" s="53"/>
      <c r="H123" s="54"/>
      <c r="I123" s="53"/>
      <c r="J123" s="53"/>
      <c r="K123" s="53"/>
      <c r="L123" s="55"/>
      <c r="M123" s="53"/>
      <c r="N123" s="33"/>
      <c r="O123" s="33"/>
      <c r="P123" s="33"/>
      <c r="Q123" s="33"/>
      <c r="R123" s="33"/>
      <c r="S123" s="33"/>
      <c r="T123" s="33"/>
      <c r="U123" s="33"/>
      <c r="V123" s="33"/>
      <c r="W123" s="33"/>
      <c r="X123" s="33"/>
      <c r="Y123" s="33"/>
      <c r="Z123" s="54"/>
      <c r="AA123" s="33"/>
      <c r="AB123" s="33"/>
      <c r="AC123" s="33"/>
      <c r="AD123" s="33"/>
      <c r="AE123" s="33"/>
      <c r="AF123" s="33"/>
      <c r="AG123" s="33"/>
      <c r="AH123" s="33"/>
    </row>
    <row r="124" spans="2:34" s="50" customFormat="1" ht="54.75" customHeight="1" x14ac:dyDescent="0.35">
      <c r="B124" s="51"/>
      <c r="C124" s="51"/>
      <c r="D124" s="51"/>
      <c r="E124" s="52"/>
      <c r="F124" s="52"/>
      <c r="G124" s="53"/>
      <c r="H124" s="54"/>
      <c r="I124" s="53"/>
      <c r="J124" s="53"/>
      <c r="K124" s="53"/>
      <c r="L124" s="55"/>
      <c r="M124" s="53"/>
      <c r="N124" s="33"/>
      <c r="O124" s="33"/>
      <c r="P124" s="33"/>
      <c r="Q124" s="33"/>
      <c r="R124" s="33"/>
      <c r="S124" s="33"/>
      <c r="T124" s="33"/>
      <c r="U124" s="33"/>
      <c r="V124" s="33"/>
      <c r="W124" s="33"/>
      <c r="X124" s="33"/>
      <c r="Y124" s="33"/>
      <c r="Z124" s="54"/>
      <c r="AA124" s="33"/>
      <c r="AB124" s="33"/>
      <c r="AC124" s="33"/>
      <c r="AD124" s="33"/>
      <c r="AE124" s="33"/>
      <c r="AF124" s="33"/>
      <c r="AG124" s="33"/>
      <c r="AH124" s="33"/>
    </row>
    <row r="125" spans="2:34" s="50" customFormat="1" ht="54.75" customHeight="1" x14ac:dyDescent="0.35">
      <c r="B125" s="51"/>
      <c r="C125" s="51"/>
      <c r="D125" s="51"/>
      <c r="E125" s="52"/>
      <c r="F125" s="52"/>
      <c r="G125" s="53"/>
      <c r="H125" s="54"/>
      <c r="I125" s="53"/>
      <c r="J125" s="53"/>
      <c r="K125" s="53"/>
      <c r="L125" s="55"/>
      <c r="M125" s="53"/>
      <c r="N125" s="33"/>
      <c r="O125" s="33"/>
      <c r="P125" s="33"/>
      <c r="Q125" s="33"/>
      <c r="R125" s="33"/>
      <c r="S125" s="33"/>
      <c r="T125" s="33"/>
      <c r="U125" s="33"/>
      <c r="V125" s="33"/>
      <c r="W125" s="33"/>
      <c r="X125" s="33"/>
      <c r="Y125" s="33"/>
      <c r="Z125" s="54"/>
      <c r="AA125" s="33"/>
      <c r="AB125" s="33"/>
      <c r="AC125" s="33"/>
      <c r="AD125" s="33"/>
      <c r="AE125" s="33"/>
      <c r="AF125" s="33"/>
      <c r="AG125" s="33"/>
      <c r="AH125" s="33"/>
    </row>
    <row r="126" spans="2:34" s="50" customFormat="1" ht="54.75" customHeight="1" x14ac:dyDescent="0.35">
      <c r="B126" s="51"/>
      <c r="C126" s="51"/>
      <c r="D126" s="51"/>
      <c r="E126" s="52"/>
      <c r="F126" s="52"/>
      <c r="G126" s="53"/>
      <c r="H126" s="54"/>
      <c r="I126" s="53"/>
      <c r="J126" s="53"/>
      <c r="K126" s="53"/>
      <c r="L126" s="55"/>
      <c r="M126" s="53"/>
      <c r="N126" s="33"/>
      <c r="O126" s="33"/>
      <c r="P126" s="33"/>
      <c r="Q126" s="33"/>
      <c r="R126" s="33"/>
      <c r="S126" s="33"/>
      <c r="T126" s="33"/>
      <c r="U126" s="33"/>
      <c r="V126" s="33"/>
      <c r="W126" s="33"/>
      <c r="X126" s="33"/>
      <c r="Y126" s="33"/>
      <c r="Z126" s="54"/>
      <c r="AA126" s="33"/>
      <c r="AB126" s="33"/>
      <c r="AC126" s="33"/>
      <c r="AD126" s="33"/>
      <c r="AE126" s="33"/>
      <c r="AF126" s="33"/>
      <c r="AG126" s="33"/>
      <c r="AH126" s="33"/>
    </row>
    <row r="127" spans="2:34" s="50" customFormat="1" ht="54.75" customHeight="1" x14ac:dyDescent="0.35">
      <c r="B127" s="51"/>
      <c r="C127" s="51"/>
      <c r="D127" s="51"/>
      <c r="E127" s="52"/>
      <c r="F127" s="52"/>
      <c r="G127" s="53"/>
      <c r="H127" s="54"/>
      <c r="I127" s="53"/>
      <c r="J127" s="53"/>
      <c r="K127" s="53"/>
      <c r="L127" s="55"/>
      <c r="M127" s="53"/>
      <c r="N127" s="33"/>
      <c r="O127" s="33"/>
      <c r="P127" s="33"/>
      <c r="Q127" s="33"/>
      <c r="R127" s="33"/>
      <c r="S127" s="33"/>
      <c r="T127" s="33"/>
      <c r="U127" s="33"/>
      <c r="V127" s="33"/>
      <c r="W127" s="33"/>
      <c r="X127" s="33"/>
      <c r="Y127" s="33"/>
      <c r="Z127" s="54"/>
      <c r="AA127" s="33"/>
      <c r="AB127" s="33"/>
      <c r="AC127" s="33"/>
      <c r="AD127" s="33"/>
      <c r="AE127" s="33"/>
      <c r="AF127" s="33"/>
      <c r="AG127" s="33"/>
      <c r="AH127" s="33"/>
    </row>
    <row r="128" spans="2:34" s="50" customFormat="1" ht="54.75" customHeight="1" x14ac:dyDescent="0.35">
      <c r="B128" s="51"/>
      <c r="C128" s="51"/>
      <c r="D128" s="51"/>
      <c r="E128" s="52"/>
      <c r="F128" s="52"/>
      <c r="G128" s="53"/>
      <c r="H128" s="54"/>
      <c r="I128" s="53"/>
      <c r="J128" s="53"/>
      <c r="K128" s="53"/>
      <c r="L128" s="55"/>
      <c r="M128" s="53"/>
      <c r="N128" s="33"/>
      <c r="O128" s="33"/>
      <c r="P128" s="33"/>
      <c r="Q128" s="33"/>
      <c r="R128" s="33"/>
      <c r="S128" s="33"/>
      <c r="T128" s="33"/>
      <c r="U128" s="33"/>
      <c r="V128" s="33"/>
      <c r="W128" s="33"/>
      <c r="X128" s="33"/>
      <c r="Y128" s="33"/>
      <c r="Z128" s="54"/>
      <c r="AA128" s="33"/>
      <c r="AB128" s="33"/>
      <c r="AC128" s="33"/>
      <c r="AD128" s="33"/>
      <c r="AE128" s="33"/>
      <c r="AF128" s="33"/>
      <c r="AG128" s="33"/>
      <c r="AH128" s="33"/>
    </row>
    <row r="129" spans="2:34" s="50" customFormat="1" ht="54.75" customHeight="1" x14ac:dyDescent="0.35">
      <c r="B129" s="51"/>
      <c r="C129" s="51"/>
      <c r="D129" s="51"/>
      <c r="E129" s="52"/>
      <c r="F129" s="52"/>
      <c r="G129" s="53"/>
      <c r="H129" s="54"/>
      <c r="I129" s="53"/>
      <c r="J129" s="53"/>
      <c r="K129" s="53"/>
      <c r="L129" s="55"/>
      <c r="M129" s="53"/>
      <c r="N129" s="33"/>
      <c r="O129" s="33"/>
      <c r="P129" s="33"/>
      <c r="Q129" s="33"/>
      <c r="R129" s="33"/>
      <c r="S129" s="33"/>
      <c r="T129" s="33"/>
      <c r="U129" s="33"/>
      <c r="V129" s="33"/>
      <c r="W129" s="33"/>
      <c r="X129" s="33"/>
      <c r="Y129" s="33"/>
      <c r="Z129" s="54"/>
      <c r="AA129" s="33"/>
      <c r="AB129" s="33"/>
      <c r="AC129" s="33"/>
      <c r="AD129" s="33"/>
      <c r="AE129" s="33"/>
      <c r="AF129" s="33"/>
      <c r="AG129" s="33"/>
      <c r="AH129" s="33"/>
    </row>
    <row r="130" spans="2:34" s="50" customFormat="1" ht="54.75" customHeight="1" x14ac:dyDescent="0.35">
      <c r="B130" s="51"/>
      <c r="C130" s="51"/>
      <c r="D130" s="51"/>
      <c r="E130" s="52"/>
      <c r="F130" s="52"/>
      <c r="G130" s="53"/>
      <c r="H130" s="54"/>
      <c r="I130" s="53"/>
      <c r="J130" s="53"/>
      <c r="K130" s="53"/>
      <c r="L130" s="55"/>
      <c r="M130" s="53"/>
      <c r="N130" s="33"/>
      <c r="O130" s="33"/>
      <c r="P130" s="33"/>
      <c r="Q130" s="33"/>
      <c r="R130" s="33"/>
      <c r="S130" s="33"/>
      <c r="T130" s="33"/>
      <c r="U130" s="33"/>
      <c r="V130" s="33"/>
      <c r="W130" s="33"/>
      <c r="X130" s="33"/>
      <c r="Y130" s="33"/>
      <c r="Z130" s="54"/>
      <c r="AA130" s="33"/>
      <c r="AB130" s="33"/>
      <c r="AC130" s="33"/>
      <c r="AD130" s="33"/>
      <c r="AE130" s="33"/>
      <c r="AF130" s="33"/>
      <c r="AG130" s="33"/>
      <c r="AH130" s="33"/>
    </row>
    <row r="131" spans="2:34" s="50" customFormat="1" ht="54.75" customHeight="1" x14ac:dyDescent="0.35">
      <c r="B131" s="51"/>
      <c r="C131" s="51"/>
      <c r="D131" s="51"/>
      <c r="E131" s="52"/>
      <c r="F131" s="52"/>
      <c r="G131" s="53"/>
      <c r="H131" s="54"/>
      <c r="I131" s="53"/>
      <c r="J131" s="53"/>
      <c r="K131" s="53"/>
      <c r="L131" s="55"/>
      <c r="M131" s="53"/>
      <c r="N131" s="33"/>
      <c r="O131" s="33"/>
      <c r="P131" s="33"/>
      <c r="Q131" s="33"/>
      <c r="R131" s="33"/>
      <c r="S131" s="33"/>
      <c r="T131" s="33"/>
      <c r="U131" s="33"/>
      <c r="V131" s="33"/>
      <c r="W131" s="33"/>
      <c r="X131" s="33"/>
      <c r="Y131" s="33"/>
      <c r="Z131" s="54"/>
      <c r="AA131" s="33"/>
      <c r="AB131" s="33"/>
      <c r="AC131" s="33"/>
      <c r="AD131" s="33"/>
      <c r="AE131" s="33"/>
      <c r="AF131" s="33"/>
      <c r="AG131" s="33"/>
      <c r="AH131" s="33"/>
    </row>
    <row r="1048197" spans="28:28" ht="54.75" customHeight="1" x14ac:dyDescent="0.35">
      <c r="AB1048197" s="56"/>
    </row>
    <row r="1048198" spans="28:28" ht="54.75" customHeight="1" x14ac:dyDescent="0.35">
      <c r="AB1048198" s="28"/>
    </row>
    <row r="1048199" spans="28:28" ht="54.75" customHeight="1" x14ac:dyDescent="0.35">
      <c r="AB1048199" s="28"/>
    </row>
    <row r="1048200" spans="28:28" ht="54.75" customHeight="1" x14ac:dyDescent="0.35">
      <c r="AB1048200" s="28"/>
    </row>
    <row r="1048201" spans="28:28" ht="54.75" customHeight="1" x14ac:dyDescent="0.35">
      <c r="AB1048201" s="28"/>
    </row>
    <row r="1048202" spans="28:28" ht="54.75" customHeight="1" x14ac:dyDescent="0.35">
      <c r="AB1048202" s="28"/>
    </row>
    <row r="1048265" spans="30:30" ht="54.75" customHeight="1" x14ac:dyDescent="0.35">
      <c r="AD1048265" s="8"/>
    </row>
    <row r="1048266" spans="30:30" ht="54.75" customHeight="1" x14ac:dyDescent="0.35">
      <c r="AD1048266" s="29"/>
    </row>
    <row r="1048267" spans="30:30" ht="54.75" customHeight="1" x14ac:dyDescent="0.35">
      <c r="AD1048267" s="29"/>
    </row>
    <row r="1048268" spans="30:30" ht="54.75" customHeight="1" x14ac:dyDescent="0.35">
      <c r="AD1048268" s="29"/>
    </row>
    <row r="1048269" spans="30:30" ht="54.75" customHeight="1" x14ac:dyDescent="0.35">
      <c r="AD1048269" s="29"/>
    </row>
    <row r="1048270" spans="30:30" ht="54.75" customHeight="1" x14ac:dyDescent="0.35">
      <c r="AD1048270" s="29"/>
    </row>
    <row r="1048271" spans="30:30" ht="54.75" customHeight="1" x14ac:dyDescent="0.35">
      <c r="AD1048271" s="29"/>
    </row>
    <row r="1048272" spans="30:30" ht="54.75" customHeight="1" x14ac:dyDescent="0.35">
      <c r="AD1048272" s="29"/>
    </row>
    <row r="1048273" spans="30:30" ht="54.75" customHeight="1" x14ac:dyDescent="0.35">
      <c r="AD1048273" s="29"/>
    </row>
  </sheetData>
  <autoFilter ref="A1:AE131" xr:uid="{B11FDCC1-B40D-4733-9D1B-15904CA89B34}"/>
  <mergeCells count="1">
    <mergeCell ref="J82:AH82"/>
  </mergeCells>
  <hyperlinks>
    <hyperlink ref="S66" r:id="rId1" display="https://community.secop.gov.co/Public/Tendering/OpportunityDetail/Index?noticeUID=CO1.NTC.10077458&amp;isFromPublicArea=True&amp;isModal=true&amp;asPopupView=true" xr:uid="{4C996E78-A5D6-4D9C-A039-78F2A204B597}"/>
    <hyperlink ref="S72" r:id="rId2" xr:uid="{A972DBB2-B81D-497B-83F7-202D79E35A8C}"/>
    <hyperlink ref="S68" r:id="rId3" xr:uid="{34B8471A-C609-4E59-9389-37DF069D53CA}"/>
    <hyperlink ref="S75" r:id="rId4" display="https://community.secop.gov.co/Public/Tendering/OpportunityDetail/Index?noticeUID=CO1.NTC.10140964&amp;isFromPublicArea=True&amp;isModal=true&amp;asPopupView=true" xr:uid="{0ABCA17F-4901-45E8-93AB-89AD95EFFE51}"/>
    <hyperlink ref="S76" r:id="rId5" display="https://community.secop.gov.co/Public/Tendering/OpportunityDetail/Index?noticeUID=CO1.NTC.10366033&amp;isFromPublicArea=True&amp;isModal=true&amp;asPopupView=true" xr:uid="{40038B86-F654-45F4-9D4B-A01D589B59B8}"/>
    <hyperlink ref="S73" r:id="rId6" display="https://community.secop.gov.co/Public/Tendering/OpportunityDetail/Index?noticeUID=CO1.NTC.10112609&amp;isFromPublicArea=True&amp;isModal=true&amp;asPopupView=true" xr:uid="{2DA0FF39-87FD-4261-8773-C95CE1DA707F}"/>
    <hyperlink ref="S74" r:id="rId7" display="https://community.secop.gov.co/Public/Tendering/OpportunityDetail/Index?noticeUID=CO1.NTC.10161916&amp;isFromPublicArea=True&amp;isModal=true&amp;asPopupView=true" xr:uid="{3F814D05-4EF5-44FA-8781-0770A41B0BDE}"/>
    <hyperlink ref="S58" r:id="rId8" display="https://community.secop.gov.co/Public/Tendering/OpportunityDetail/Index?noticeUID=CO1.NTC.9510142&amp;isFromPublicArea=True&amp;isModal=true&amp;asPopupView=true" xr:uid="{FCB26EC4-D549-495A-BB35-4D084B80E591}"/>
    <hyperlink ref="S59" r:id="rId9" display="https://community.secop.gov.co/Public/Tendering/OpportunityDetail/Index?noticeUID=CO1.NTC.9516591&amp;isFromPublicArea=True&amp;isModal=true&amp;asPopupView=true" xr:uid="{88573F6B-41CD-4E89-92ED-7FAD238777ED}"/>
    <hyperlink ref="S60" r:id="rId10" display="https://community.secop.gov.co/Public/Tendering/OpportunityDetail/Index?noticeUID=CO1.NTC.10001131&amp;isFromPublicArea=True&amp;isModal=true&amp;asPopupView=true" xr:uid="{951F0F86-70D3-476A-B284-D09A827A0D30}"/>
    <hyperlink ref="S61" r:id="rId11" display="https://community.secop.gov.co/Public/Tendering/OpportunityDetail/Index?noticeUID=CO1.NTC.10016666&amp;isFromPublicArea=True&amp;isModal=true&amp;asPopupView=true" xr:uid="{01BE982B-2FC2-4C9F-9CB6-0BF952683170}"/>
    <hyperlink ref="S62" r:id="rId12" display="https://community.secop.gov.co/Public/Tendering/OpportunityDetail/Index?noticeUID=CO1.NTC.10015202&amp;isFromPublicArea=True&amp;isModal=true&amp;asPopupView=true" xr:uid="{E69AEDC3-8E80-4AB2-B91C-19594FF63B27}"/>
    <hyperlink ref="S63" r:id="rId13" display="https://community.secop.gov.co/Public/Tendering/OpportunityDetail/Index?noticeUID=CO1.NTC.10022306&amp;isFromPublicArea=True&amp;isModal=true&amp;asPopupView=true" xr:uid="{76AA361F-512C-4B37-877A-4CAA7383EEAF}"/>
    <hyperlink ref="S64" r:id="rId14" display="https://community.secop.gov.co/Public/Tendering/OpportunityDetail/Index?noticeUID=CO1.NTC.10053312&amp;isFromPublicArea=True&amp;isModal=true&amp;asPopupView=true" xr:uid="{83363343-A9FF-453A-B74C-52F98EBE97C9}"/>
    <hyperlink ref="S65" r:id="rId15" display="https://community.secop.gov.co/Public/Tendering/OpportunityDetail/Index?noticeUID=CO1.NTC.10021556&amp;isFromPublicArea=True&amp;isModal=true&amp;asPopupView=true" xr:uid="{80F5F5C8-35BD-4DD1-86D9-DB484D04C43D}"/>
    <hyperlink ref="S67" r:id="rId16" display="https://community.secop.gov.co/Public/Tendering/OpportunityDetail/Index?noticeUID=CO1.NTC.10099755&amp;isFromPublicArea=True&amp;isModal=true&amp;asPopupView=true" xr:uid="{2C9D7AD0-6304-4990-AEBF-4A7265BD3028}"/>
    <hyperlink ref="S69" r:id="rId17" display="https://community.secop.gov.co/Public/Tendering/OpportunityDetail/Index?noticeUID=CO1.NTC.10128576&amp;isFromPublicArea=True&amp;isModal=true&amp;asPopupView=true" xr:uid="{D9E04CEE-C551-41BA-97DC-25AEB1ECDA2F}"/>
    <hyperlink ref="S70" r:id="rId18" display="https://community.secop.gov.co/Public/Tendering/OpportunityDetail/Index?noticeUID=CO1.NTC.10128609&amp;isFromPublicArea=True&amp;isModal=true&amp;asPopupView=true" xr:uid="{E51E243B-5940-46C6-8434-D550C7DA9F4B}"/>
    <hyperlink ref="S71" r:id="rId19" display="https://community.secop.gov.co/Public/Tendering/OpportunityDetail/Index?noticeUID=CO1.NTC.10140135&amp;isFromPublicArea=True&amp;isModal=true&amp;asPopupView=true" xr:uid="{045FB24A-FFEF-4C53-AAF5-C1AE14B56539}"/>
    <hyperlink ref="S57" r:id="rId20" display="https://community.secop.gov.co/Public/Tendering/OpportunityDetail/Index?noticeUID=CO1.NTC.9528300&amp;isFromPublicArea=True&amp;isModal=true&amp;asPopupView=true" xr:uid="{D7BB871C-1E6E-43E3-A9F4-BCA2F0FBF60E}"/>
    <hyperlink ref="S44" r:id="rId21" display="https://community.secop.gov.co/Public/Tendering/OpportunityDetail/Index?noticeUID=CO1.NTC.9487338&amp;isFromPublicArea=True&amp;isModal=true&amp;asPopupView=true" xr:uid="{93DC0CD4-5596-4F57-9196-919286A539FB}"/>
    <hyperlink ref="S77" r:id="rId22" display="https://community.secop.gov.co/Public/Tendering/OpportunityDetail/Index?noticeUID=CO1.NTC.10449514&amp;isFromPublicArea=True&amp;isModal=true&amp;asPopupView=true" xr:uid="{A2779740-87B5-40CF-AB9A-A166777B8E3C}"/>
    <hyperlink ref="S78" r:id="rId23" display="https://community.secop.gov.co/Public/Tendering/OpportunityDetail/Index?noticeUID=CO1.NTC.10353282&amp;isFromPublicArea=True&amp;isModal=true&amp;asPopupView=true" xr:uid="{E2199C69-FE40-45DE-8004-6174B3B93DEB}"/>
    <hyperlink ref="S79" r:id="rId24" xr:uid="{41296172-91F6-4580-8E59-B70B2B33B2EB}"/>
    <hyperlink ref="S11" r:id="rId25" display="https://community.secop.gov.co/Public/Tendering/OpportunityDetail/Index?noticeUID=CO1.NTC.9415572&amp;isFromPublicArea=True&amp;isModal=true&amp;asPopupView=true" xr:uid="{8D4C496C-BD68-41E8-B030-812C7CD1BDA8}"/>
    <hyperlink ref="S80" r:id="rId26" display="https://community.secop.gov.co/Public/Tendering/OpportunityDetail/Index?noticeUID=CO1.NTC.10429509&amp;isFromPublicArea=True&amp;isModal=true&amp;asPopupView=true" xr:uid="{640F17A4-4C47-4511-A40D-5FCE6EF6F953}"/>
    <hyperlink ref="S81" r:id="rId27" display="https://community.secop.gov.co/Public/Tendering/OpportunityDetail/Index?noticeUID=CO1.NTC.10594647&amp;isFromPublicArea=True&amp;isModal=true&amp;asPopupView=true" xr:uid="{29B2BF87-B759-4011-852A-DD8AF703C852}"/>
    <hyperlink ref="S83" r:id="rId28" display="https://community.secop.gov.co/Public/Tendering/OpportunityDetail/Index?noticeUID=CO1.NTC.10486431&amp;isFromPublicArea=True&amp;isModal=true&amp;asPopupView=true" xr:uid="{ECD32172-5603-4F56-B0BD-8C12EF2B5E89}"/>
    <hyperlink ref="S84" r:id="rId29" display="https://community.secop.gov.co/Public/Tendering/OpportunityDetail/Index?noticeUID=CO1.NTC.10447063&amp;isFromPublicArea=True&amp;isModal=true&amp;asPopupView=true" xr:uid="{A4067ADD-7514-439F-938E-F38DD85994CB}"/>
    <hyperlink ref="S87" r:id="rId30" display="https://community.secop.gov.co/Public/Tendering/OpportunityDetail/Index?noticeUID=CO1.NTC.10685188&amp;isFromPublicArea=True&amp;isModal=true&amp;asPopupView=true" xr:uid="{95E85D6F-1F3E-48FF-A942-2D93FFFF3B9F}"/>
    <hyperlink ref="S88" r:id="rId31" display="https://community.secop.gov.co/Public/Tendering/OpportunityDetail/Index?noticeUID=CO1.NTC.10473469&amp;isFromPublicArea=True&amp;isModal=true&amp;asPopupView=true" xr:uid="{030BD365-B5F7-4EEC-AE68-7063AEBB8561}"/>
    <hyperlink ref="S89" r:id="rId32" display="https://community.secop.gov.co/Public/Tendering/OpportunityDetail/Index?noticeUID=CO1.NTC.10451115&amp;isFromPublicArea=True&amp;isModal=true&amp;asPopupView=true" xr:uid="{E41EB7FD-91F9-4044-8DF3-F5DF589F2146}"/>
    <hyperlink ref="S93" r:id="rId33" display="https://community.secop.gov.co/Public/Tendering/OpportunityDetail/Index?noticeUID=CO1.NTC.10575387&amp;isFromPublicArea=True&amp;isModal=true&amp;asPopupView=true" xr:uid="{517191AB-A336-40A2-A985-C030FA820105}"/>
    <hyperlink ref="S94" r:id="rId34" display="https://community.secop.gov.co/Public/Tendering/OpportunityDetail/Index?noticeUID=CO1.NTC.10586829&amp;isFromPublicArea=True&amp;isModal=true&amp;asPopupView=true" xr:uid="{30BB542D-FD77-4F53-885E-EA290A300EC8}"/>
    <hyperlink ref="S85" r:id="rId35" display="https://community.secop.gov.co/Public/Tendering/OpportunityDetail/Index?noticeUID=CO1.NTC.10647915&amp;isFromPublicArea=True&amp;isModal=true&amp;asPopupView=true" xr:uid="{EDCD5398-1C0F-4D4F-8368-A7408ADE98DC}"/>
    <hyperlink ref="S86" r:id="rId36" display="https://community.secop.gov.co/Public/Tendering/OpportunityDetail/Index?noticeUID=CO1.NTC.10649706&amp;isFromPublicArea=True&amp;isModal=true&amp;asPopupView=true" xr:uid="{4482ACCA-D699-4180-9AD2-B3A6E1AB1AF1}"/>
    <hyperlink ref="S96" r:id="rId37" display="https://community.secop.gov.co/Public/Tendering/OpportunityDetail/Index?noticeUID=CO1.NTC.10960550&amp;amp;isFromPublicArea=True&amp;amp;isModal=true&amp;amp;asPopupView=true" xr:uid="{5E7CC66C-9DEA-48DD-B6FA-1CE5F0B8E49F}"/>
  </hyperlinks>
  <pageMargins left="0.7" right="0.7" top="0.75" bottom="0.75" header="0.3" footer="0.3"/>
  <pageSetup orientation="portrait"/>
  <headerFooter>
    <oddHeader>&amp;R&amp;"Aptos"&amp;10&amp;KFF0000 Información pública&amp;1#_x000D_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EJECUCIÓN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Arturo Guzmán Ramírez</dc:creator>
  <cp:lastModifiedBy>Carlos Arturo Guzmán Ramírez</cp:lastModifiedBy>
  <dcterms:created xsi:type="dcterms:W3CDTF">2026-10-20T21:11:32Z</dcterms:created>
  <dcterms:modified xsi:type="dcterms:W3CDTF">2026-10-20T21:41:30Z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9276b6-75f1-4620-a6a2-153244a3486e_Enabled">
    <vt:lpwstr>true</vt:lpwstr>
  </property>
  <property fmtid="{D5CDD505-2E9C-101B-9397-08002B2CF9AE}" pid="3" name="MSIP_Label_7c9276b6-75f1-4620-a6a2-153244a3486e_SetDate">
    <vt:lpwstr>2026-10-20T21:41:30Z</vt:lpwstr>
  </property>
  <property fmtid="{D5CDD505-2E9C-101B-9397-08002B2CF9AE}" pid="4" name="MSIP_Label_7c9276b6-75f1-4620-a6a2-153244a3486e_Method">
    <vt:lpwstr>Privileged</vt:lpwstr>
  </property>
  <property fmtid="{D5CDD505-2E9C-101B-9397-08002B2CF9AE}" pid="5" name="MSIP_Label_7c9276b6-75f1-4620-a6a2-153244a3486e_Name">
    <vt:lpwstr>Pru_Pública</vt:lpwstr>
  </property>
  <property fmtid="{D5CDD505-2E9C-101B-9397-08002B2CF9AE}" pid="6" name="MSIP_Label_7c9276b6-75f1-4620-a6a2-153244a3486e_SiteId">
    <vt:lpwstr>2cdab013-7b2d-4428-b384-326c870248c1</vt:lpwstr>
  </property>
  <property fmtid="{D5CDD505-2E9C-101B-9397-08002B2CF9AE}" pid="7" name="MSIP_Label_7c9276b6-75f1-4620-a6a2-153244a3486e_ActionId">
    <vt:lpwstr>3c1db8dd-cf5f-4830-a945-b87312692c61</vt:lpwstr>
  </property>
  <property fmtid="{D5CDD505-2E9C-101B-9397-08002B2CF9AE}" pid="8" name="MSIP_Label_7c9276b6-75f1-4620-a6a2-153244a3486e_ContentBits">
    <vt:lpwstr>1</vt:lpwstr>
  </property>
  <property fmtid="{D5CDD505-2E9C-101B-9397-08002B2CF9AE}" pid="9" name="MSIP_Label_7c9276b6-75f1-4620-a6a2-153244a3486e_Tag">
    <vt:lpwstr>10, 0, 1, 1</vt:lpwstr>
  </property>
</Properties>
</file>