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Users\carlos.guzman\Desktop\CUADROS CONTRATACIÓN\"/>
    </mc:Choice>
  </mc:AlternateContent>
  <xr:revisionPtr revIDLastSave="0" documentId="8_{71651A0D-BD46-42E8-B93A-68399655C062}" xr6:coauthVersionLast="47" xr6:coauthVersionMax="47" xr10:uidLastSave="{00000000-0000-0000-0000-000000000000}"/>
  <bookViews>
    <workbookView xWindow="-110" yWindow="-110" windowWidth="19420" windowHeight="10300" xr2:uid="{942E5E9C-530C-4CF2-8E21-C5420732C1B6}"/>
  </bookViews>
  <sheets>
    <sheet name="EJECUCIÓN" sheetId="1" r:id="rId1"/>
  </sheets>
  <externalReferences>
    <externalReference r:id="rId2"/>
    <externalReference r:id="rId3"/>
  </externalReferences>
  <definedNames>
    <definedName name="_xlnm._FilterDatabase" localSheetId="0" hidden="1">EJECUCIÓN!$A$1:$AC$128</definedName>
    <definedName name="_Hlk105592051">[1]Procesos!#REF!</definedName>
    <definedName name="_Hlk110374089">#REF!</definedName>
    <definedName name="_Hlk116555417">[1]Procesos!#REF!</definedName>
    <definedName name="_Hlk116633778">#REF!</definedName>
    <definedName name="_Hlk123304439">#REF!</definedName>
    <definedName name="_Hlk128223398">#REF!</definedName>
    <definedName name="_Hlk130314194">#REF!</definedName>
    <definedName name="_Hlk135679546">#REF!</definedName>
    <definedName name="_Hlk136005445">[1]Procesos!#REF!</definedName>
    <definedName name="_Hlk147495102">#REF!</definedName>
    <definedName name="_Hlk160516244">#REF!</definedName>
    <definedName name="_Hlk160521524">#REF!</definedName>
    <definedName name="_Hlk173746503">#REF!</definedName>
    <definedName name="_Hlk182415984">#REF!</definedName>
    <definedName name="_Hlk26523623">[1]Procesos!#REF!</definedName>
    <definedName name="_Hlk33176819">#REF!</definedName>
    <definedName name="_Hlk35642408">[1]Procesos!#REF!</definedName>
    <definedName name="_Hlk36109458">#REF!</definedName>
    <definedName name="_Hlk45700344">[1]Procesos!#REF!</definedName>
    <definedName name="_Hlk47457417">[1]Procesos!#REF!</definedName>
    <definedName name="_Hlk49347159">#REF!</definedName>
    <definedName name="_Hlk494276910">#REF!</definedName>
    <definedName name="_Hlk502916878">[1]Procesos!#REF!</definedName>
    <definedName name="_Hlk513191942">#REF!</definedName>
    <definedName name="_Hlk530041356">[1]Procesos!#REF!</definedName>
    <definedName name="_Hlk531544264">[1]Procesos!#REF!</definedName>
    <definedName name="_Hlk53164404">[1]Procesos!#REF!</definedName>
    <definedName name="_Hlk55479840">[1]Procesos!#REF!</definedName>
    <definedName name="_Hlk59641802">[1]Procesos!#REF!</definedName>
    <definedName name="_Hlk60602017">[1]Procesos!#REF!</definedName>
    <definedName name="_Hlk60749835">[1]Procesos!#REF!</definedName>
    <definedName name="_Hlk60759131">[1]Procesos!#REF!</definedName>
    <definedName name="_Hlk60763804">[1]Procesos!#REF!</definedName>
    <definedName name="_Hlk60924862">[1]Procesos!#REF!</definedName>
    <definedName name="_Hlk61360840">#REF!</definedName>
    <definedName name="_Hlk61547881">#REF!</definedName>
    <definedName name="_Hlk62552812">#REF!</definedName>
    <definedName name="_Hlk66049980">[1]Procesos!#REF!</definedName>
    <definedName name="_Hlk66205409">[1]Procesos!#REF!</definedName>
    <definedName name="_Hlk67899562">#REF!</definedName>
    <definedName name="_Hlk71897782">#REF!</definedName>
    <definedName name="_Hlk74786305">[1]Procesos!#REF!</definedName>
    <definedName name="_Hlk90834169">[1]Procesos!#REF!</definedName>
    <definedName name="_Hlk91056478">[1]Procesos!#REF!</definedName>
    <definedName name="lista_modalidad">[1]Hoja1!$A$1:$A$7</definedName>
    <definedName name="ModalidadContratacion">[2]ListaTipoContratacion!$C$4:$C$12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A92" i="1" l="1" a="1"/>
  <c r="AA92" i="1" s="1"/>
  <c r="W92" i="1"/>
  <c r="X92" i="1" s="1" a="1"/>
  <c r="X92" i="1" s="1"/>
  <c r="V92" i="1"/>
  <c r="U92" i="1"/>
  <c r="O92" i="1"/>
  <c r="N92" i="1"/>
  <c r="M92" i="1"/>
  <c r="G92" i="1"/>
  <c r="F92" i="1"/>
  <c r="E92" i="1"/>
  <c r="C92" i="1"/>
  <c r="B92" i="1"/>
  <c r="A92" i="1"/>
  <c r="H92" i="1" s="1"/>
  <c r="AA91" i="1" a="1"/>
  <c r="AA91" i="1" s="1"/>
  <c r="W91" i="1"/>
  <c r="X91" i="1" s="1" a="1"/>
  <c r="X91" i="1" s="1"/>
  <c r="V91" i="1"/>
  <c r="U91" i="1"/>
  <c r="O91" i="1"/>
  <c r="N91" i="1"/>
  <c r="M91" i="1"/>
  <c r="G91" i="1"/>
  <c r="F91" i="1"/>
  <c r="E91" i="1"/>
  <c r="C91" i="1"/>
  <c r="B91" i="1"/>
  <c r="A91" i="1"/>
  <c r="H91" i="1" s="1"/>
  <c r="AA90" i="1" a="1"/>
  <c r="AA90" i="1" s="1"/>
  <c r="W90" i="1"/>
  <c r="X90" i="1" s="1" a="1"/>
  <c r="X90" i="1" s="1"/>
  <c r="V90" i="1"/>
  <c r="U90" i="1"/>
  <c r="O90" i="1"/>
  <c r="N90" i="1"/>
  <c r="M90" i="1"/>
  <c r="G90" i="1"/>
  <c r="F90" i="1"/>
  <c r="E90" i="1"/>
  <c r="C90" i="1"/>
  <c r="B90" i="1"/>
  <c r="A90" i="1"/>
  <c r="P90" i="1" s="1"/>
  <c r="AA89" i="1" a="1"/>
  <c r="AA89" i="1" s="1"/>
  <c r="W89" i="1"/>
  <c r="X89" i="1" s="1" a="1"/>
  <c r="X89" i="1" s="1"/>
  <c r="V89" i="1"/>
  <c r="U89" i="1"/>
  <c r="O89" i="1"/>
  <c r="N89" i="1"/>
  <c r="M89" i="1"/>
  <c r="G89" i="1"/>
  <c r="F89" i="1"/>
  <c r="E89" i="1"/>
  <c r="B89" i="1"/>
  <c r="A89" i="1"/>
  <c r="H89" i="1" s="1"/>
  <c r="AA88" i="1" a="1"/>
  <c r="AA88" i="1" s="1"/>
  <c r="W88" i="1"/>
  <c r="X88" i="1" s="1" a="1"/>
  <c r="X88" i="1" s="1"/>
  <c r="V88" i="1"/>
  <c r="U88" i="1"/>
  <c r="O88" i="1"/>
  <c r="N88" i="1"/>
  <c r="M88" i="1"/>
  <c r="G88" i="1"/>
  <c r="F88" i="1"/>
  <c r="E88" i="1"/>
  <c r="C88" i="1"/>
  <c r="B88" i="1"/>
  <c r="A88" i="1"/>
  <c r="P88" i="1" s="1"/>
  <c r="AA87" i="1" a="1"/>
  <c r="AA87" i="1" s="1"/>
  <c r="W87" i="1"/>
  <c r="X87" i="1" s="1" a="1"/>
  <c r="X87" i="1" s="1"/>
  <c r="V87" i="1"/>
  <c r="U87" i="1"/>
  <c r="O87" i="1"/>
  <c r="N87" i="1"/>
  <c r="M87" i="1"/>
  <c r="G87" i="1"/>
  <c r="F87" i="1"/>
  <c r="E87" i="1"/>
  <c r="C87" i="1"/>
  <c r="B87" i="1"/>
  <c r="A87" i="1"/>
  <c r="H87" i="1" s="1"/>
  <c r="AA86" i="1" a="1"/>
  <c r="AA86" i="1" s="1"/>
  <c r="W86" i="1"/>
  <c r="X86" i="1" s="1" a="1"/>
  <c r="X86" i="1" s="1"/>
  <c r="V86" i="1"/>
  <c r="U86" i="1"/>
  <c r="O86" i="1"/>
  <c r="N86" i="1"/>
  <c r="M86" i="1"/>
  <c r="G86" i="1"/>
  <c r="F86" i="1"/>
  <c r="E86" i="1"/>
  <c r="C86" i="1"/>
  <c r="B86" i="1"/>
  <c r="A86" i="1"/>
  <c r="P86" i="1" s="1"/>
  <c r="AA85" i="1" a="1"/>
  <c r="AA85" i="1" s="1"/>
  <c r="W85" i="1"/>
  <c r="X85" i="1" s="1" a="1"/>
  <c r="X85" i="1" s="1"/>
  <c r="V85" i="1"/>
  <c r="U85" i="1"/>
  <c r="O85" i="1"/>
  <c r="N85" i="1"/>
  <c r="M85" i="1"/>
  <c r="G85" i="1"/>
  <c r="F85" i="1"/>
  <c r="E85" i="1"/>
  <c r="C85" i="1"/>
  <c r="B85" i="1"/>
  <c r="A85" i="1"/>
  <c r="H85" i="1" s="1"/>
  <c r="AA84" i="1" a="1"/>
  <c r="AA84" i="1" s="1"/>
  <c r="W84" i="1"/>
  <c r="X84" i="1" s="1" a="1"/>
  <c r="X84" i="1" s="1"/>
  <c r="V84" i="1"/>
  <c r="U84" i="1"/>
  <c r="O84" i="1"/>
  <c r="N84" i="1"/>
  <c r="M84" i="1"/>
  <c r="G84" i="1"/>
  <c r="F84" i="1"/>
  <c r="E84" i="1"/>
  <c r="C84" i="1"/>
  <c r="B84" i="1"/>
  <c r="A84" i="1"/>
  <c r="AA83" i="1" a="1"/>
  <c r="AA83" i="1" s="1"/>
  <c r="W83" i="1"/>
  <c r="X83" i="1" s="1" a="1"/>
  <c r="X83" i="1" s="1"/>
  <c r="V83" i="1"/>
  <c r="U83" i="1"/>
  <c r="O83" i="1"/>
  <c r="N83" i="1"/>
  <c r="M83" i="1"/>
  <c r="G83" i="1"/>
  <c r="F83" i="1"/>
  <c r="E83" i="1"/>
  <c r="C83" i="1"/>
  <c r="B83" i="1"/>
  <c r="A83" i="1"/>
  <c r="P83" i="1" s="1"/>
  <c r="AA82" i="1" a="1"/>
  <c r="AA82" i="1" s="1"/>
  <c r="W82" i="1"/>
  <c r="X82" i="1" s="1" a="1"/>
  <c r="X82" i="1" s="1"/>
  <c r="V82" i="1"/>
  <c r="U82" i="1"/>
  <c r="O82" i="1"/>
  <c r="N82" i="1"/>
  <c r="M82" i="1"/>
  <c r="G82" i="1"/>
  <c r="F82" i="1"/>
  <c r="E82" i="1"/>
  <c r="C82" i="1"/>
  <c r="B82" i="1"/>
  <c r="A82" i="1"/>
  <c r="P82" i="1" s="1"/>
  <c r="AA81" i="1" a="1"/>
  <c r="AA81" i="1" s="1"/>
  <c r="W81" i="1"/>
  <c r="X81" i="1" s="1" a="1"/>
  <c r="X81" i="1" s="1"/>
  <c r="V81" i="1"/>
  <c r="U81" i="1"/>
  <c r="O81" i="1"/>
  <c r="N81" i="1"/>
  <c r="M81" i="1"/>
  <c r="G81" i="1"/>
  <c r="F81" i="1"/>
  <c r="E81" i="1"/>
  <c r="C81" i="1"/>
  <c r="B81" i="1"/>
  <c r="A81" i="1"/>
  <c r="AA80" i="1" a="1"/>
  <c r="AA80" i="1" s="1"/>
  <c r="W80" i="1"/>
  <c r="X80" i="1" s="1" a="1"/>
  <c r="X80" i="1" s="1"/>
  <c r="V80" i="1"/>
  <c r="U80" i="1"/>
  <c r="O80" i="1"/>
  <c r="N80" i="1"/>
  <c r="M80" i="1"/>
  <c r="G80" i="1"/>
  <c r="E80" i="1"/>
  <c r="C80" i="1"/>
  <c r="B80" i="1"/>
  <c r="A80" i="1"/>
  <c r="H80" i="1" s="1"/>
  <c r="AA79" i="1" a="1"/>
  <c r="AA79" i="1" s="1"/>
  <c r="W79" i="1"/>
  <c r="X79" i="1" s="1" a="1"/>
  <c r="X79" i="1" s="1"/>
  <c r="V79" i="1"/>
  <c r="U79" i="1"/>
  <c r="O79" i="1"/>
  <c r="N79" i="1"/>
  <c r="M79" i="1"/>
  <c r="G79" i="1"/>
  <c r="E79" i="1"/>
  <c r="C79" i="1"/>
  <c r="B79" i="1"/>
  <c r="A79" i="1"/>
  <c r="AA78" i="1" a="1"/>
  <c r="AA78" i="1" s="1"/>
  <c r="W78" i="1"/>
  <c r="X78" i="1" s="1" a="1"/>
  <c r="X78" i="1" s="1"/>
  <c r="V78" i="1"/>
  <c r="U78" i="1"/>
  <c r="O78" i="1"/>
  <c r="N78" i="1"/>
  <c r="M78" i="1"/>
  <c r="G78" i="1"/>
  <c r="E78" i="1"/>
  <c r="C78" i="1"/>
  <c r="B78" i="1"/>
  <c r="A78" i="1"/>
  <c r="P78" i="1" s="1"/>
  <c r="W77" i="1"/>
  <c r="X77" i="1" s="1" a="1"/>
  <c r="X77" i="1" s="1"/>
  <c r="V77" i="1"/>
  <c r="U77" i="1"/>
  <c r="O77" i="1"/>
  <c r="N77" i="1"/>
  <c r="M77" i="1"/>
  <c r="G77" i="1"/>
  <c r="E77" i="1"/>
  <c r="C77" i="1"/>
  <c r="B77" i="1"/>
  <c r="A77" i="1"/>
  <c r="H77" i="1" s="1"/>
  <c r="AA76" i="1" a="1"/>
  <c r="AA76" i="1" s="1"/>
  <c r="W76" i="1"/>
  <c r="X76" i="1" s="1" a="1"/>
  <c r="X76" i="1" s="1"/>
  <c r="V76" i="1"/>
  <c r="U76" i="1"/>
  <c r="O76" i="1"/>
  <c r="N76" i="1"/>
  <c r="M76" i="1"/>
  <c r="G76" i="1"/>
  <c r="E76" i="1"/>
  <c r="C76" i="1"/>
  <c r="B76" i="1"/>
  <c r="A76" i="1"/>
  <c r="H76" i="1" s="1"/>
  <c r="AA75" i="1" a="1"/>
  <c r="AA75" i="1" s="1"/>
  <c r="W75" i="1"/>
  <c r="X75" i="1" s="1" a="1"/>
  <c r="X75" i="1" s="1"/>
  <c r="V75" i="1"/>
  <c r="U75" i="1"/>
  <c r="O75" i="1"/>
  <c r="N75" i="1"/>
  <c r="M75" i="1"/>
  <c r="G75" i="1"/>
  <c r="E75" i="1"/>
  <c r="C75" i="1"/>
  <c r="B75" i="1"/>
  <c r="A75" i="1"/>
  <c r="P75" i="1" s="1"/>
  <c r="AA74" i="1" a="1"/>
  <c r="AA74" i="1" s="1"/>
  <c r="W74" i="1"/>
  <c r="X74" i="1" s="1" a="1"/>
  <c r="X74" i="1" s="1"/>
  <c r="V74" i="1"/>
  <c r="U74" i="1"/>
  <c r="O74" i="1"/>
  <c r="N74" i="1"/>
  <c r="M74" i="1"/>
  <c r="G74" i="1"/>
  <c r="E74" i="1"/>
  <c r="C74" i="1"/>
  <c r="B74" i="1"/>
  <c r="A74" i="1"/>
  <c r="AA73" i="1" a="1"/>
  <c r="AA73" i="1" s="1"/>
  <c r="W73" i="1"/>
  <c r="X73" i="1" s="1" a="1"/>
  <c r="X73" i="1" s="1"/>
  <c r="V73" i="1"/>
  <c r="U73" i="1"/>
  <c r="O73" i="1"/>
  <c r="N73" i="1"/>
  <c r="M73" i="1"/>
  <c r="G73" i="1"/>
  <c r="E73" i="1"/>
  <c r="C73" i="1"/>
  <c r="B73" i="1"/>
  <c r="A73" i="1"/>
  <c r="H73" i="1" s="1"/>
  <c r="AA72" i="1" a="1"/>
  <c r="AA72" i="1" s="1"/>
  <c r="W72" i="1"/>
  <c r="X72" i="1" s="1" a="1"/>
  <c r="X72" i="1" s="1"/>
  <c r="V72" i="1"/>
  <c r="U72" i="1"/>
  <c r="O72" i="1"/>
  <c r="N72" i="1"/>
  <c r="M72" i="1"/>
  <c r="G72" i="1"/>
  <c r="E72" i="1"/>
  <c r="C72" i="1"/>
  <c r="B72" i="1"/>
  <c r="A72" i="1"/>
  <c r="H72" i="1" s="1"/>
  <c r="AA71" i="1" a="1"/>
  <c r="AA71" i="1" s="1"/>
  <c r="W71" i="1"/>
  <c r="X71" i="1" s="1" a="1"/>
  <c r="X71" i="1" s="1"/>
  <c r="V71" i="1"/>
  <c r="U71" i="1"/>
  <c r="O71" i="1"/>
  <c r="N71" i="1"/>
  <c r="M71" i="1"/>
  <c r="G71" i="1"/>
  <c r="E71" i="1"/>
  <c r="C71" i="1"/>
  <c r="B71" i="1"/>
  <c r="A71" i="1"/>
  <c r="AA70" i="1" a="1"/>
  <c r="AA70" i="1" s="1"/>
  <c r="W70" i="1"/>
  <c r="X70" i="1" s="1" a="1"/>
  <c r="X70" i="1" s="1"/>
  <c r="V70" i="1"/>
  <c r="U70" i="1"/>
  <c r="O70" i="1"/>
  <c r="N70" i="1"/>
  <c r="M70" i="1"/>
  <c r="G70" i="1"/>
  <c r="E70" i="1"/>
  <c r="C70" i="1"/>
  <c r="B70" i="1"/>
  <c r="A70" i="1"/>
  <c r="P70" i="1" s="1"/>
  <c r="AA69" i="1" a="1"/>
  <c r="AA69" i="1" s="1"/>
  <c r="W69" i="1"/>
  <c r="X69" i="1" s="1" a="1"/>
  <c r="X69" i="1" s="1"/>
  <c r="V69" i="1"/>
  <c r="U69" i="1"/>
  <c r="O69" i="1"/>
  <c r="N69" i="1"/>
  <c r="M69" i="1"/>
  <c r="G69" i="1"/>
  <c r="E69" i="1"/>
  <c r="C69" i="1"/>
  <c r="B69" i="1"/>
  <c r="A69" i="1"/>
  <c r="H69" i="1" s="1"/>
  <c r="AA68" i="1" a="1"/>
  <c r="AA68" i="1" s="1"/>
  <c r="W68" i="1"/>
  <c r="X68" i="1" s="1" a="1"/>
  <c r="X68" i="1" s="1"/>
  <c r="V68" i="1"/>
  <c r="U68" i="1"/>
  <c r="O68" i="1"/>
  <c r="N68" i="1"/>
  <c r="M68" i="1"/>
  <c r="G68" i="1"/>
  <c r="E68" i="1"/>
  <c r="C68" i="1"/>
  <c r="B68" i="1"/>
  <c r="A68" i="1"/>
  <c r="H68" i="1" s="1"/>
  <c r="AA67" i="1" a="1"/>
  <c r="AA67" i="1" s="1"/>
  <c r="W67" i="1"/>
  <c r="X67" i="1" s="1" a="1"/>
  <c r="X67" i="1" s="1"/>
  <c r="V67" i="1"/>
  <c r="U67" i="1"/>
  <c r="O67" i="1"/>
  <c r="N67" i="1"/>
  <c r="M67" i="1"/>
  <c r="G67" i="1"/>
  <c r="E67" i="1"/>
  <c r="C67" i="1"/>
  <c r="B67" i="1"/>
  <c r="A67" i="1"/>
  <c r="H67" i="1" s="1"/>
  <c r="AA66" i="1" a="1"/>
  <c r="AA66" i="1" s="1"/>
  <c r="X66" i="1" a="1"/>
  <c r="X66" i="1" s="1"/>
  <c r="W66" i="1"/>
  <c r="V66" i="1"/>
  <c r="U66" i="1"/>
  <c r="O66" i="1"/>
  <c r="N66" i="1"/>
  <c r="M66" i="1"/>
  <c r="G66" i="1"/>
  <c r="E66" i="1"/>
  <c r="C66" i="1"/>
  <c r="B66" i="1"/>
  <c r="A66" i="1"/>
  <c r="H66" i="1" s="1"/>
  <c r="AA65" i="1" a="1"/>
  <c r="AA65" i="1" s="1"/>
  <c r="W65" i="1"/>
  <c r="X65" i="1" s="1" a="1"/>
  <c r="X65" i="1" s="1"/>
  <c r="V65" i="1"/>
  <c r="U65" i="1"/>
  <c r="O65" i="1"/>
  <c r="N65" i="1"/>
  <c r="M65" i="1"/>
  <c r="G65" i="1"/>
  <c r="E65" i="1"/>
  <c r="C65" i="1"/>
  <c r="B65" i="1"/>
  <c r="A65" i="1"/>
  <c r="H65" i="1" s="1"/>
  <c r="AA64" i="1" a="1"/>
  <c r="AA64" i="1" s="1"/>
  <c r="W64" i="1"/>
  <c r="X64" i="1" s="1" a="1"/>
  <c r="X64" i="1" s="1"/>
  <c r="V64" i="1"/>
  <c r="U64" i="1"/>
  <c r="O64" i="1"/>
  <c r="N64" i="1"/>
  <c r="M64" i="1"/>
  <c r="G64" i="1"/>
  <c r="E64" i="1"/>
  <c r="C64" i="1"/>
  <c r="B64" i="1"/>
  <c r="A64" i="1"/>
  <c r="H64" i="1" s="1"/>
  <c r="AA63" i="1" a="1"/>
  <c r="AA63" i="1" s="1"/>
  <c r="W63" i="1"/>
  <c r="X63" i="1" s="1" a="1"/>
  <c r="X63" i="1" s="1"/>
  <c r="V63" i="1"/>
  <c r="U63" i="1"/>
  <c r="O63" i="1"/>
  <c r="N63" i="1"/>
  <c r="M63" i="1"/>
  <c r="H63" i="1"/>
  <c r="G63" i="1"/>
  <c r="E63" i="1"/>
  <c r="C63" i="1"/>
  <c r="B63" i="1"/>
  <c r="A63" i="1"/>
  <c r="P63" i="1" s="1"/>
  <c r="AA62" i="1" a="1"/>
  <c r="AA62" i="1" s="1"/>
  <c r="W62" i="1"/>
  <c r="X62" i="1" s="1" a="1"/>
  <c r="X62" i="1" s="1"/>
  <c r="V62" i="1"/>
  <c r="U62" i="1"/>
  <c r="O62" i="1"/>
  <c r="N62" i="1"/>
  <c r="M62" i="1"/>
  <c r="G62" i="1"/>
  <c r="E62" i="1"/>
  <c r="C62" i="1"/>
  <c r="B62" i="1"/>
  <c r="A62" i="1"/>
  <c r="H62" i="1" s="1"/>
  <c r="AA61" i="1" a="1"/>
  <c r="AA61" i="1" s="1"/>
  <c r="W61" i="1"/>
  <c r="X61" i="1" s="1" a="1"/>
  <c r="X61" i="1" s="1"/>
  <c r="V61" i="1"/>
  <c r="U61" i="1"/>
  <c r="O61" i="1"/>
  <c r="N61" i="1"/>
  <c r="M61" i="1"/>
  <c r="G61" i="1"/>
  <c r="E61" i="1"/>
  <c r="C61" i="1"/>
  <c r="B61" i="1"/>
  <c r="A61" i="1"/>
  <c r="AA60" i="1" a="1"/>
  <c r="AA60" i="1" s="1"/>
  <c r="W60" i="1"/>
  <c r="X60" i="1" s="1" a="1"/>
  <c r="X60" i="1" s="1"/>
  <c r="V60" i="1"/>
  <c r="U60" i="1"/>
  <c r="O60" i="1"/>
  <c r="N60" i="1"/>
  <c r="M60" i="1"/>
  <c r="G60" i="1"/>
  <c r="E60" i="1"/>
  <c r="C60" i="1"/>
  <c r="B60" i="1"/>
  <c r="A60" i="1"/>
  <c r="H60" i="1" s="1"/>
  <c r="AA59" i="1" a="1"/>
  <c r="AA59" i="1" s="1"/>
  <c r="W59" i="1"/>
  <c r="X59" i="1" s="1" a="1"/>
  <c r="X59" i="1" s="1"/>
  <c r="V59" i="1"/>
  <c r="U59" i="1"/>
  <c r="O59" i="1"/>
  <c r="N59" i="1"/>
  <c r="M59" i="1"/>
  <c r="AC59" i="1" s="1"/>
  <c r="G59" i="1"/>
  <c r="E59" i="1"/>
  <c r="C59" i="1"/>
  <c r="B59" i="1"/>
  <c r="A59" i="1"/>
  <c r="H59" i="1" s="1"/>
  <c r="AA58" i="1" a="1"/>
  <c r="AA58" i="1" s="1"/>
  <c r="W58" i="1"/>
  <c r="X58" i="1" s="1" a="1"/>
  <c r="X58" i="1" s="1"/>
  <c r="V58" i="1"/>
  <c r="U58" i="1"/>
  <c r="O58" i="1"/>
  <c r="N58" i="1"/>
  <c r="M58" i="1"/>
  <c r="G58" i="1"/>
  <c r="E58" i="1"/>
  <c r="C58" i="1"/>
  <c r="B58" i="1"/>
  <c r="A58" i="1"/>
  <c r="P58" i="1" s="1"/>
  <c r="AA57" i="1" a="1"/>
  <c r="AA57" i="1" s="1"/>
  <c r="W57" i="1"/>
  <c r="X57" i="1" s="1" a="1"/>
  <c r="X57" i="1" s="1"/>
  <c r="V57" i="1"/>
  <c r="U57" i="1"/>
  <c r="O57" i="1"/>
  <c r="N57" i="1"/>
  <c r="M57" i="1"/>
  <c r="G57" i="1"/>
  <c r="E57" i="1"/>
  <c r="C57" i="1"/>
  <c r="B57" i="1"/>
  <c r="A57" i="1"/>
  <c r="H57" i="1" s="1"/>
  <c r="AA56" i="1" a="1"/>
  <c r="AA56" i="1" s="1"/>
  <c r="W56" i="1"/>
  <c r="X56" i="1" s="1" a="1"/>
  <c r="X56" i="1" s="1"/>
  <c r="V56" i="1"/>
  <c r="U56" i="1"/>
  <c r="O56" i="1"/>
  <c r="N56" i="1"/>
  <c r="M56" i="1"/>
  <c r="G56" i="1"/>
  <c r="E56" i="1"/>
  <c r="C56" i="1"/>
  <c r="B56" i="1"/>
  <c r="A56" i="1"/>
  <c r="P56" i="1" s="1"/>
  <c r="AA55" i="1" a="1"/>
  <c r="AA55" i="1" s="1"/>
  <c r="W55" i="1"/>
  <c r="X55" i="1" s="1" a="1"/>
  <c r="X55" i="1" s="1"/>
  <c r="V55" i="1"/>
  <c r="U55" i="1"/>
  <c r="O55" i="1"/>
  <c r="N55" i="1"/>
  <c r="M55" i="1"/>
  <c r="G55" i="1"/>
  <c r="E55" i="1"/>
  <c r="C55" i="1"/>
  <c r="B55" i="1"/>
  <c r="A55" i="1"/>
  <c r="P55" i="1" s="1"/>
  <c r="AA54" i="1" a="1"/>
  <c r="AA54" i="1" s="1"/>
  <c r="W54" i="1"/>
  <c r="X54" i="1" s="1" a="1"/>
  <c r="X54" i="1" s="1"/>
  <c r="V54" i="1"/>
  <c r="U54" i="1"/>
  <c r="O54" i="1"/>
  <c r="N54" i="1"/>
  <c r="M54" i="1"/>
  <c r="G54" i="1"/>
  <c r="E54" i="1"/>
  <c r="C54" i="1"/>
  <c r="B54" i="1"/>
  <c r="A54" i="1"/>
  <c r="AA53" i="1" a="1"/>
  <c r="AA53" i="1" s="1"/>
  <c r="W53" i="1"/>
  <c r="X53" i="1" s="1" a="1"/>
  <c r="X53" i="1" s="1"/>
  <c r="V53" i="1"/>
  <c r="U53" i="1"/>
  <c r="O53" i="1"/>
  <c r="N53" i="1"/>
  <c r="M53" i="1"/>
  <c r="G53" i="1"/>
  <c r="E53" i="1"/>
  <c r="C53" i="1"/>
  <c r="B53" i="1"/>
  <c r="A53" i="1"/>
  <c r="H53" i="1" s="1"/>
  <c r="AA52" i="1" a="1"/>
  <c r="AA52" i="1" s="1"/>
  <c r="W52" i="1"/>
  <c r="X52" i="1" s="1" a="1"/>
  <c r="X52" i="1" s="1"/>
  <c r="V52" i="1"/>
  <c r="U52" i="1"/>
  <c r="O52" i="1"/>
  <c r="N52" i="1"/>
  <c r="M52" i="1"/>
  <c r="G52" i="1"/>
  <c r="E52" i="1"/>
  <c r="C52" i="1"/>
  <c r="B52" i="1"/>
  <c r="A52" i="1"/>
  <c r="P52" i="1" s="1"/>
  <c r="AA51" i="1" a="1"/>
  <c r="AA51" i="1" s="1"/>
  <c r="W51" i="1"/>
  <c r="X51" i="1" s="1" a="1"/>
  <c r="X51" i="1" s="1"/>
  <c r="V51" i="1"/>
  <c r="U51" i="1"/>
  <c r="O51" i="1"/>
  <c r="N51" i="1"/>
  <c r="M51" i="1"/>
  <c r="G51" i="1"/>
  <c r="E51" i="1"/>
  <c r="C51" i="1"/>
  <c r="B51" i="1"/>
  <c r="A51" i="1"/>
  <c r="P51" i="1" s="1"/>
  <c r="AA50" i="1" a="1"/>
  <c r="AA50" i="1" s="1"/>
  <c r="W50" i="1"/>
  <c r="X50" i="1" s="1" a="1"/>
  <c r="X50" i="1" s="1"/>
  <c r="V50" i="1"/>
  <c r="U50" i="1"/>
  <c r="O50" i="1"/>
  <c r="N50" i="1"/>
  <c r="M50" i="1"/>
  <c r="G50" i="1"/>
  <c r="E50" i="1"/>
  <c r="C50" i="1"/>
  <c r="B50" i="1"/>
  <c r="A50" i="1"/>
  <c r="H50" i="1" s="1"/>
  <c r="AA49" i="1" a="1"/>
  <c r="AA49" i="1" s="1"/>
  <c r="W49" i="1"/>
  <c r="X49" i="1" s="1" a="1"/>
  <c r="X49" i="1" s="1"/>
  <c r="V49" i="1"/>
  <c r="U49" i="1"/>
  <c r="O49" i="1"/>
  <c r="N49" i="1"/>
  <c r="M49" i="1"/>
  <c r="G49" i="1"/>
  <c r="E49" i="1"/>
  <c r="C49" i="1"/>
  <c r="B49" i="1"/>
  <c r="A49" i="1"/>
  <c r="H49" i="1" s="1"/>
  <c r="AA48" i="1" a="1"/>
  <c r="AA48" i="1" s="1"/>
  <c r="W48" i="1"/>
  <c r="X48" i="1" s="1" a="1"/>
  <c r="X48" i="1" s="1"/>
  <c r="V48" i="1"/>
  <c r="U48" i="1"/>
  <c r="O48" i="1"/>
  <c r="N48" i="1"/>
  <c r="M48" i="1"/>
  <c r="G48" i="1"/>
  <c r="E48" i="1"/>
  <c r="C48" i="1"/>
  <c r="B48" i="1"/>
  <c r="A48" i="1"/>
  <c r="P48" i="1" s="1"/>
  <c r="AA47" i="1" a="1"/>
  <c r="AA47" i="1" s="1"/>
  <c r="W47" i="1"/>
  <c r="X47" i="1" s="1" a="1"/>
  <c r="X47" i="1" s="1"/>
  <c r="V47" i="1"/>
  <c r="U47" i="1"/>
  <c r="O47" i="1"/>
  <c r="N47" i="1"/>
  <c r="M47" i="1"/>
  <c r="G47" i="1"/>
  <c r="E47" i="1"/>
  <c r="C47" i="1"/>
  <c r="A47" i="1"/>
  <c r="H47" i="1" s="1"/>
  <c r="AA46" i="1" a="1"/>
  <c r="AA46" i="1" s="1"/>
  <c r="W46" i="1"/>
  <c r="X46" i="1" s="1" a="1"/>
  <c r="X46" i="1" s="1"/>
  <c r="V46" i="1"/>
  <c r="U46" i="1"/>
  <c r="O46" i="1"/>
  <c r="N46" i="1"/>
  <c r="M46" i="1"/>
  <c r="G46" i="1"/>
  <c r="E46" i="1"/>
  <c r="C46" i="1"/>
  <c r="A46" i="1"/>
  <c r="P46" i="1" s="1"/>
  <c r="AA45" i="1" a="1"/>
  <c r="AA45" i="1" s="1"/>
  <c r="W45" i="1"/>
  <c r="X45" i="1" s="1" a="1"/>
  <c r="X45" i="1" s="1"/>
  <c r="V45" i="1"/>
  <c r="U45" i="1"/>
  <c r="O45" i="1"/>
  <c r="N45" i="1"/>
  <c r="M45" i="1"/>
  <c r="G45" i="1"/>
  <c r="E45" i="1"/>
  <c r="C45" i="1"/>
  <c r="B45" i="1"/>
  <c r="A45" i="1"/>
  <c r="H45" i="1" s="1"/>
  <c r="AA44" i="1" a="1"/>
  <c r="AA44" i="1" s="1"/>
  <c r="W44" i="1"/>
  <c r="X44" i="1" s="1" a="1"/>
  <c r="X44" i="1" s="1"/>
  <c r="V44" i="1"/>
  <c r="U44" i="1"/>
  <c r="O44" i="1"/>
  <c r="N44" i="1"/>
  <c r="M44" i="1"/>
  <c r="G44" i="1"/>
  <c r="E44" i="1"/>
  <c r="C44" i="1"/>
  <c r="B44" i="1"/>
  <c r="A44" i="1"/>
  <c r="H44" i="1" s="1"/>
  <c r="AA43" i="1" a="1"/>
  <c r="AA43" i="1" s="1"/>
  <c r="W43" i="1"/>
  <c r="X43" i="1" s="1" a="1"/>
  <c r="X43" i="1" s="1"/>
  <c r="V43" i="1"/>
  <c r="U43" i="1"/>
  <c r="O43" i="1"/>
  <c r="N43" i="1"/>
  <c r="M43" i="1"/>
  <c r="G43" i="1"/>
  <c r="E43" i="1"/>
  <c r="C43" i="1"/>
  <c r="B43" i="1"/>
  <c r="A43" i="1"/>
  <c r="P43" i="1" s="1"/>
  <c r="AA42" i="1" a="1"/>
  <c r="AA42" i="1" s="1"/>
  <c r="W42" i="1"/>
  <c r="X42" i="1" s="1" a="1"/>
  <c r="X42" i="1" s="1"/>
  <c r="V42" i="1"/>
  <c r="U42" i="1"/>
  <c r="O42" i="1"/>
  <c r="N42" i="1"/>
  <c r="M42" i="1"/>
  <c r="G42" i="1"/>
  <c r="E42" i="1"/>
  <c r="C42" i="1"/>
  <c r="A42" i="1"/>
  <c r="P42" i="1" s="1"/>
  <c r="AA41" i="1" a="1"/>
  <c r="AA41" i="1" s="1"/>
  <c r="W41" i="1"/>
  <c r="X41" i="1" s="1" a="1"/>
  <c r="X41" i="1" s="1"/>
  <c r="V41" i="1"/>
  <c r="U41" i="1"/>
  <c r="O41" i="1"/>
  <c r="N41" i="1"/>
  <c r="M41" i="1"/>
  <c r="G41" i="1"/>
  <c r="E41" i="1"/>
  <c r="C41" i="1"/>
  <c r="B41" i="1"/>
  <c r="A41" i="1"/>
  <c r="P41" i="1" s="1"/>
  <c r="AA40" i="1" a="1"/>
  <c r="AA40" i="1" s="1"/>
  <c r="W40" i="1"/>
  <c r="X40" i="1" s="1" a="1"/>
  <c r="X40" i="1" s="1"/>
  <c r="V40" i="1"/>
  <c r="U40" i="1"/>
  <c r="O40" i="1"/>
  <c r="N40" i="1"/>
  <c r="M40" i="1"/>
  <c r="G40" i="1"/>
  <c r="E40" i="1"/>
  <c r="C40" i="1"/>
  <c r="B40" i="1"/>
  <c r="A40" i="1"/>
  <c r="AA39" i="1" a="1"/>
  <c r="AA39" i="1" s="1"/>
  <c r="W39" i="1"/>
  <c r="X39" i="1" s="1" a="1"/>
  <c r="X39" i="1" s="1"/>
  <c r="V39" i="1"/>
  <c r="U39" i="1"/>
  <c r="O39" i="1"/>
  <c r="N39" i="1"/>
  <c r="M39" i="1"/>
  <c r="G39" i="1"/>
  <c r="E39" i="1"/>
  <c r="C39" i="1"/>
  <c r="B39" i="1"/>
  <c r="A39" i="1"/>
  <c r="P39" i="1" s="1"/>
  <c r="AA38" i="1" a="1"/>
  <c r="AA38" i="1" s="1"/>
  <c r="W38" i="1"/>
  <c r="X38" i="1" s="1" a="1"/>
  <c r="X38" i="1" s="1"/>
  <c r="V38" i="1"/>
  <c r="U38" i="1"/>
  <c r="O38" i="1"/>
  <c r="N38" i="1"/>
  <c r="M38" i="1"/>
  <c r="G38" i="1"/>
  <c r="E38" i="1"/>
  <c r="C38" i="1"/>
  <c r="B38" i="1"/>
  <c r="A38" i="1"/>
  <c r="P38" i="1" s="1"/>
  <c r="AA37" i="1" a="1"/>
  <c r="AA37" i="1" s="1"/>
  <c r="W37" i="1"/>
  <c r="X37" i="1" s="1" a="1"/>
  <c r="X37" i="1" s="1"/>
  <c r="V37" i="1"/>
  <c r="U37" i="1"/>
  <c r="O37" i="1"/>
  <c r="N37" i="1"/>
  <c r="M37" i="1"/>
  <c r="G37" i="1"/>
  <c r="E37" i="1"/>
  <c r="C37" i="1"/>
  <c r="B37" i="1"/>
  <c r="A37" i="1"/>
  <c r="P37" i="1" s="1"/>
  <c r="AA36" i="1" a="1"/>
  <c r="AA36" i="1" s="1"/>
  <c r="W36" i="1"/>
  <c r="X36" i="1" s="1" a="1"/>
  <c r="X36" i="1" s="1"/>
  <c r="V36" i="1"/>
  <c r="U36" i="1"/>
  <c r="O36" i="1"/>
  <c r="N36" i="1"/>
  <c r="M36" i="1"/>
  <c r="G36" i="1"/>
  <c r="E36" i="1"/>
  <c r="C36" i="1"/>
  <c r="A36" i="1"/>
  <c r="AA35" i="1" a="1"/>
  <c r="AA35" i="1" s="1"/>
  <c r="W35" i="1"/>
  <c r="X35" i="1" s="1" a="1"/>
  <c r="X35" i="1" s="1"/>
  <c r="V35" i="1"/>
  <c r="U35" i="1"/>
  <c r="O35" i="1"/>
  <c r="N35" i="1"/>
  <c r="M35" i="1"/>
  <c r="G35" i="1"/>
  <c r="E35" i="1"/>
  <c r="C35" i="1"/>
  <c r="B35" i="1"/>
  <c r="A35" i="1"/>
  <c r="H35" i="1" s="1"/>
  <c r="AA34" i="1" a="1"/>
  <c r="AA34" i="1" s="1"/>
  <c r="W34" i="1"/>
  <c r="X34" i="1" s="1" a="1"/>
  <c r="X34" i="1" s="1"/>
  <c r="V34" i="1"/>
  <c r="U34" i="1"/>
  <c r="O34" i="1"/>
  <c r="N34" i="1"/>
  <c r="M34" i="1"/>
  <c r="G34" i="1"/>
  <c r="E34" i="1"/>
  <c r="C34" i="1"/>
  <c r="B34" i="1"/>
  <c r="A34" i="1"/>
  <c r="H34" i="1" s="1"/>
  <c r="AA33" i="1" a="1"/>
  <c r="AA33" i="1" s="1"/>
  <c r="W33" i="1"/>
  <c r="X33" i="1" s="1" a="1"/>
  <c r="X33" i="1" s="1"/>
  <c r="V33" i="1"/>
  <c r="U33" i="1"/>
  <c r="O33" i="1"/>
  <c r="N33" i="1"/>
  <c r="M33" i="1"/>
  <c r="G33" i="1"/>
  <c r="E33" i="1"/>
  <c r="C33" i="1"/>
  <c r="B33" i="1"/>
  <c r="A33" i="1"/>
  <c r="H33" i="1" s="1"/>
  <c r="AA32" i="1" a="1"/>
  <c r="AA32" i="1" s="1"/>
  <c r="W32" i="1"/>
  <c r="X32" i="1" s="1" a="1"/>
  <c r="X32" i="1" s="1"/>
  <c r="V32" i="1"/>
  <c r="U32" i="1"/>
  <c r="O32" i="1"/>
  <c r="N32" i="1"/>
  <c r="M32" i="1"/>
  <c r="G32" i="1"/>
  <c r="E32" i="1"/>
  <c r="C32" i="1"/>
  <c r="B32" i="1"/>
  <c r="A32" i="1"/>
  <c r="H32" i="1" s="1"/>
  <c r="AA31" i="1" a="1"/>
  <c r="AA31" i="1" s="1"/>
  <c r="X31" i="1" a="1"/>
  <c r="X31" i="1" s="1"/>
  <c r="W31" i="1"/>
  <c r="V31" i="1"/>
  <c r="U31" i="1"/>
  <c r="O31" i="1"/>
  <c r="N31" i="1"/>
  <c r="M31" i="1"/>
  <c r="G31" i="1"/>
  <c r="E31" i="1"/>
  <c r="C31" i="1"/>
  <c r="B31" i="1"/>
  <c r="A31" i="1"/>
  <c r="H31" i="1" s="1"/>
  <c r="AA30" i="1" a="1"/>
  <c r="AA30" i="1" s="1"/>
  <c r="W30" i="1"/>
  <c r="X30" i="1" s="1" a="1"/>
  <c r="X30" i="1" s="1"/>
  <c r="V30" i="1"/>
  <c r="U30" i="1"/>
  <c r="O30" i="1"/>
  <c r="N30" i="1"/>
  <c r="M30" i="1"/>
  <c r="G30" i="1"/>
  <c r="E30" i="1"/>
  <c r="C30" i="1"/>
  <c r="B30" i="1"/>
  <c r="A30" i="1"/>
  <c r="H30" i="1" s="1"/>
  <c r="AA29" i="1" a="1"/>
  <c r="AA29" i="1" s="1"/>
  <c r="W29" i="1"/>
  <c r="X29" i="1" s="1" a="1"/>
  <c r="X29" i="1" s="1"/>
  <c r="V29" i="1"/>
  <c r="U29" i="1"/>
  <c r="O29" i="1"/>
  <c r="N29" i="1"/>
  <c r="M29" i="1"/>
  <c r="G29" i="1"/>
  <c r="E29" i="1"/>
  <c r="C29" i="1"/>
  <c r="B29" i="1"/>
  <c r="A29" i="1"/>
  <c r="H29" i="1" s="1"/>
  <c r="AA28" i="1" a="1"/>
  <c r="AA28" i="1" s="1"/>
  <c r="W28" i="1"/>
  <c r="X28" i="1" s="1" a="1"/>
  <c r="X28" i="1" s="1"/>
  <c r="V28" i="1"/>
  <c r="U28" i="1"/>
  <c r="O28" i="1"/>
  <c r="N28" i="1"/>
  <c r="M28" i="1"/>
  <c r="G28" i="1"/>
  <c r="E28" i="1"/>
  <c r="C28" i="1"/>
  <c r="B28" i="1"/>
  <c r="A28" i="1"/>
  <c r="P28" i="1" s="1"/>
  <c r="AA27" i="1" a="1"/>
  <c r="AA27" i="1" s="1"/>
  <c r="W27" i="1"/>
  <c r="X27" i="1" s="1" a="1"/>
  <c r="X27" i="1" s="1"/>
  <c r="V27" i="1"/>
  <c r="U27" i="1"/>
  <c r="O27" i="1"/>
  <c r="N27" i="1"/>
  <c r="M27" i="1"/>
  <c r="G27" i="1"/>
  <c r="E27" i="1"/>
  <c r="C27" i="1"/>
  <c r="B27" i="1"/>
  <c r="A27" i="1"/>
  <c r="H27" i="1" s="1"/>
  <c r="AA26" i="1" a="1"/>
  <c r="AA26" i="1" s="1"/>
  <c r="W26" i="1"/>
  <c r="X26" i="1" s="1" a="1"/>
  <c r="X26" i="1" s="1"/>
  <c r="V26" i="1"/>
  <c r="U26" i="1"/>
  <c r="O26" i="1"/>
  <c r="N26" i="1"/>
  <c r="M26" i="1"/>
  <c r="G26" i="1"/>
  <c r="C26" i="1"/>
  <c r="A26" i="1"/>
  <c r="H26" i="1" s="1"/>
  <c r="AA25" i="1" a="1"/>
  <c r="AA25" i="1" s="1"/>
  <c r="W25" i="1"/>
  <c r="X25" i="1" s="1" a="1"/>
  <c r="X25" i="1" s="1"/>
  <c r="V25" i="1"/>
  <c r="U25" i="1"/>
  <c r="O25" i="1"/>
  <c r="N25" i="1"/>
  <c r="M25" i="1"/>
  <c r="G25" i="1"/>
  <c r="E25" i="1"/>
  <c r="C25" i="1"/>
  <c r="A25" i="1"/>
  <c r="H25" i="1" s="1"/>
  <c r="AA24" i="1" a="1"/>
  <c r="AA24" i="1" s="1"/>
  <c r="W24" i="1"/>
  <c r="X24" i="1" s="1" a="1"/>
  <c r="X24" i="1" s="1"/>
  <c r="V24" i="1"/>
  <c r="U24" i="1"/>
  <c r="O24" i="1"/>
  <c r="N24" i="1"/>
  <c r="M24" i="1"/>
  <c r="G24" i="1"/>
  <c r="E24" i="1"/>
  <c r="C24" i="1"/>
  <c r="A24" i="1"/>
  <c r="H24" i="1" s="1"/>
  <c r="AA23" i="1" a="1"/>
  <c r="AA23" i="1" s="1"/>
  <c r="W23" i="1"/>
  <c r="X23" i="1" s="1" a="1"/>
  <c r="X23" i="1" s="1"/>
  <c r="V23" i="1"/>
  <c r="U23" i="1"/>
  <c r="O23" i="1"/>
  <c r="N23" i="1"/>
  <c r="M23" i="1"/>
  <c r="G23" i="1"/>
  <c r="E23" i="1"/>
  <c r="C23" i="1"/>
  <c r="A23" i="1"/>
  <c r="H23" i="1" s="1"/>
  <c r="AA22" i="1" a="1"/>
  <c r="AA22" i="1" s="1"/>
  <c r="W22" i="1"/>
  <c r="X22" i="1" s="1" a="1"/>
  <c r="X22" i="1" s="1"/>
  <c r="V22" i="1"/>
  <c r="U22" i="1"/>
  <c r="O22" i="1"/>
  <c r="N22" i="1"/>
  <c r="M22" i="1"/>
  <c r="G22" i="1"/>
  <c r="E22" i="1"/>
  <c r="C22" i="1"/>
  <c r="A22" i="1"/>
  <c r="P22" i="1" s="1"/>
  <c r="AA21" i="1" a="1"/>
  <c r="AA21" i="1" s="1"/>
  <c r="W21" i="1"/>
  <c r="X21" i="1" s="1" a="1"/>
  <c r="X21" i="1" s="1"/>
  <c r="V21" i="1"/>
  <c r="U21" i="1"/>
  <c r="O21" i="1"/>
  <c r="N21" i="1"/>
  <c r="M21" i="1"/>
  <c r="G21" i="1"/>
  <c r="E21" i="1"/>
  <c r="C21" i="1"/>
  <c r="B21" i="1"/>
  <c r="A21" i="1"/>
  <c r="H21" i="1" s="1"/>
  <c r="AA20" i="1" a="1"/>
  <c r="AA20" i="1" s="1"/>
  <c r="W20" i="1"/>
  <c r="X20" i="1" s="1" a="1"/>
  <c r="X20" i="1" s="1"/>
  <c r="V20" i="1"/>
  <c r="U20" i="1"/>
  <c r="O20" i="1"/>
  <c r="N20" i="1"/>
  <c r="M20" i="1"/>
  <c r="G20" i="1"/>
  <c r="E20" i="1"/>
  <c r="C20" i="1"/>
  <c r="B20" i="1"/>
  <c r="A20" i="1"/>
  <c r="H20" i="1" s="1"/>
  <c r="AA19" i="1" a="1"/>
  <c r="AA19" i="1" s="1"/>
  <c r="W19" i="1"/>
  <c r="X19" i="1" s="1" a="1"/>
  <c r="X19" i="1" s="1"/>
  <c r="V19" i="1"/>
  <c r="U19" i="1"/>
  <c r="O19" i="1"/>
  <c r="N19" i="1"/>
  <c r="M19" i="1"/>
  <c r="G19" i="1"/>
  <c r="E19" i="1"/>
  <c r="C19" i="1"/>
  <c r="B19" i="1"/>
  <c r="A19" i="1"/>
  <c r="H19" i="1" s="1"/>
  <c r="AA18" i="1" a="1"/>
  <c r="AA18" i="1" s="1"/>
  <c r="W18" i="1"/>
  <c r="X18" i="1" s="1" a="1"/>
  <c r="X18" i="1" s="1"/>
  <c r="V18" i="1"/>
  <c r="U18" i="1"/>
  <c r="O18" i="1"/>
  <c r="N18" i="1"/>
  <c r="M18" i="1"/>
  <c r="G18" i="1"/>
  <c r="E18" i="1"/>
  <c r="C18" i="1"/>
  <c r="A18" i="1"/>
  <c r="H18" i="1" s="1"/>
  <c r="AA17" i="1" a="1"/>
  <c r="AA17" i="1" s="1"/>
  <c r="W17" i="1"/>
  <c r="X17" i="1" s="1" a="1"/>
  <c r="X17" i="1" s="1"/>
  <c r="V17" i="1"/>
  <c r="U17" i="1"/>
  <c r="O17" i="1"/>
  <c r="N17" i="1"/>
  <c r="M17" i="1"/>
  <c r="G17" i="1"/>
  <c r="E17" i="1"/>
  <c r="C17" i="1"/>
  <c r="B17" i="1"/>
  <c r="A17" i="1"/>
  <c r="P17" i="1" s="1"/>
  <c r="AA16" i="1" a="1"/>
  <c r="AA16" i="1" s="1"/>
  <c r="W16" i="1"/>
  <c r="X16" i="1" s="1" a="1"/>
  <c r="X16" i="1" s="1"/>
  <c r="V16" i="1"/>
  <c r="U16" i="1"/>
  <c r="O16" i="1"/>
  <c r="N16" i="1"/>
  <c r="M16" i="1"/>
  <c r="G16" i="1"/>
  <c r="E16" i="1"/>
  <c r="C16" i="1"/>
  <c r="B16" i="1"/>
  <c r="A16" i="1"/>
  <c r="P16" i="1" s="1"/>
  <c r="AA15" i="1" a="1"/>
  <c r="AA15" i="1" s="1"/>
  <c r="W15" i="1"/>
  <c r="X15" i="1" s="1" a="1"/>
  <c r="X15" i="1" s="1"/>
  <c r="V15" i="1"/>
  <c r="U15" i="1"/>
  <c r="O15" i="1"/>
  <c r="N15" i="1"/>
  <c r="M15" i="1"/>
  <c r="G15" i="1"/>
  <c r="E15" i="1"/>
  <c r="C15" i="1"/>
  <c r="A15" i="1"/>
  <c r="P15" i="1" s="1"/>
  <c r="AA14" i="1" a="1"/>
  <c r="AA14" i="1" s="1"/>
  <c r="W14" i="1"/>
  <c r="X14" i="1" s="1" a="1"/>
  <c r="X14" i="1" s="1"/>
  <c r="V14" i="1"/>
  <c r="U14" i="1"/>
  <c r="O14" i="1"/>
  <c r="N14" i="1"/>
  <c r="M14" i="1"/>
  <c r="G14" i="1"/>
  <c r="E14" i="1"/>
  <c r="C14" i="1"/>
  <c r="A14" i="1"/>
  <c r="H14" i="1" s="1"/>
  <c r="AA13" i="1" a="1"/>
  <c r="AA13" i="1" s="1"/>
  <c r="W13" i="1"/>
  <c r="X13" i="1" s="1" a="1"/>
  <c r="X13" i="1" s="1"/>
  <c r="V13" i="1"/>
  <c r="U13" i="1"/>
  <c r="O13" i="1"/>
  <c r="N13" i="1"/>
  <c r="M13" i="1"/>
  <c r="G13" i="1"/>
  <c r="E13" i="1"/>
  <c r="C13" i="1"/>
  <c r="B13" i="1"/>
  <c r="A13" i="1"/>
  <c r="P13" i="1" s="1"/>
  <c r="AA12" i="1" a="1"/>
  <c r="AA12" i="1" s="1"/>
  <c r="W12" i="1"/>
  <c r="X12" i="1" s="1" a="1"/>
  <c r="X12" i="1" s="1"/>
  <c r="V12" i="1"/>
  <c r="U12" i="1"/>
  <c r="O12" i="1"/>
  <c r="N12" i="1"/>
  <c r="M12" i="1"/>
  <c r="G12" i="1"/>
  <c r="E12" i="1"/>
  <c r="C12" i="1"/>
  <c r="A12" i="1"/>
  <c r="H12" i="1" s="1"/>
  <c r="AA11" i="1" a="1"/>
  <c r="AA11" i="1" s="1"/>
  <c r="W11" i="1"/>
  <c r="X11" i="1" s="1" a="1"/>
  <c r="X11" i="1" s="1"/>
  <c r="V11" i="1"/>
  <c r="U11" i="1"/>
  <c r="O11" i="1"/>
  <c r="N11" i="1"/>
  <c r="M11" i="1"/>
  <c r="G11" i="1"/>
  <c r="E11" i="1"/>
  <c r="C11" i="1"/>
  <c r="B11" i="1"/>
  <c r="A11" i="1"/>
  <c r="H11" i="1" s="1"/>
  <c r="AA10" i="1" a="1"/>
  <c r="AA10" i="1" s="1"/>
  <c r="W10" i="1"/>
  <c r="X10" i="1" s="1" a="1"/>
  <c r="X10" i="1" s="1"/>
  <c r="V10" i="1"/>
  <c r="U10" i="1"/>
  <c r="O10" i="1"/>
  <c r="N10" i="1"/>
  <c r="M10" i="1"/>
  <c r="G10" i="1"/>
  <c r="E10" i="1"/>
  <c r="C10" i="1"/>
  <c r="B10" i="1"/>
  <c r="A10" i="1"/>
  <c r="H10" i="1" s="1"/>
  <c r="AA9" i="1" a="1"/>
  <c r="AA9" i="1" s="1"/>
  <c r="W9" i="1"/>
  <c r="X9" i="1" s="1" a="1"/>
  <c r="X9" i="1" s="1"/>
  <c r="V9" i="1"/>
  <c r="U9" i="1"/>
  <c r="O9" i="1"/>
  <c r="N9" i="1"/>
  <c r="M9" i="1"/>
  <c r="G9" i="1"/>
  <c r="E9" i="1"/>
  <c r="C9" i="1"/>
  <c r="B9" i="1"/>
  <c r="A9" i="1"/>
  <c r="H9" i="1" s="1"/>
  <c r="AA8" i="1" a="1"/>
  <c r="AA8" i="1" s="1"/>
  <c r="W8" i="1"/>
  <c r="X8" i="1" s="1" a="1"/>
  <c r="X8" i="1" s="1"/>
  <c r="V8" i="1"/>
  <c r="U8" i="1"/>
  <c r="O8" i="1"/>
  <c r="N8" i="1"/>
  <c r="M8" i="1"/>
  <c r="G8" i="1"/>
  <c r="E8" i="1"/>
  <c r="C8" i="1"/>
  <c r="B8" i="1"/>
  <c r="A8" i="1"/>
  <c r="H8" i="1" s="1"/>
  <c r="AA7" i="1" a="1"/>
  <c r="AA7" i="1" s="1"/>
  <c r="W7" i="1"/>
  <c r="X7" i="1" s="1" a="1"/>
  <c r="X7" i="1" s="1"/>
  <c r="V7" i="1"/>
  <c r="U7" i="1"/>
  <c r="O7" i="1"/>
  <c r="N7" i="1"/>
  <c r="M7" i="1"/>
  <c r="G7" i="1"/>
  <c r="E7" i="1"/>
  <c r="C7" i="1"/>
  <c r="B7" i="1"/>
  <c r="A7" i="1"/>
  <c r="P7" i="1" s="1"/>
  <c r="AA6" i="1" a="1"/>
  <c r="AA6" i="1" s="1"/>
  <c r="W6" i="1"/>
  <c r="X6" i="1" s="1" a="1"/>
  <c r="X6" i="1" s="1"/>
  <c r="V6" i="1"/>
  <c r="U6" i="1"/>
  <c r="O6" i="1"/>
  <c r="N6" i="1"/>
  <c r="M6" i="1"/>
  <c r="G6" i="1"/>
  <c r="E6" i="1"/>
  <c r="C6" i="1"/>
  <c r="B6" i="1"/>
  <c r="A6" i="1"/>
  <c r="H6" i="1" s="1"/>
  <c r="AA5" i="1" a="1"/>
  <c r="AA5" i="1" s="1"/>
  <c r="W5" i="1"/>
  <c r="X5" i="1" s="1" a="1"/>
  <c r="X5" i="1" s="1"/>
  <c r="V5" i="1"/>
  <c r="U5" i="1"/>
  <c r="O5" i="1"/>
  <c r="N5" i="1"/>
  <c r="M5" i="1"/>
  <c r="G5" i="1"/>
  <c r="E5" i="1"/>
  <c r="C5" i="1"/>
  <c r="B5" i="1"/>
  <c r="A5" i="1"/>
  <c r="H5" i="1" s="1"/>
  <c r="AA4" i="1" a="1"/>
  <c r="AA4" i="1" s="1"/>
  <c r="W4" i="1"/>
  <c r="X4" i="1" s="1" a="1"/>
  <c r="X4" i="1" s="1"/>
  <c r="V4" i="1"/>
  <c r="U4" i="1"/>
  <c r="O4" i="1"/>
  <c r="N4" i="1"/>
  <c r="M4" i="1"/>
  <c r="G4" i="1"/>
  <c r="E4" i="1"/>
  <c r="C4" i="1"/>
  <c r="B4" i="1"/>
  <c r="A4" i="1"/>
  <c r="H4" i="1" s="1"/>
  <c r="AA3" i="1" a="1"/>
  <c r="AA3" i="1" s="1"/>
  <c r="W3" i="1"/>
  <c r="X3" i="1" s="1" a="1"/>
  <c r="X3" i="1" s="1"/>
  <c r="V3" i="1"/>
  <c r="U3" i="1"/>
  <c r="O3" i="1"/>
  <c r="N3" i="1"/>
  <c r="M3" i="1"/>
  <c r="G3" i="1"/>
  <c r="E3" i="1"/>
  <c r="C3" i="1"/>
  <c r="B3" i="1"/>
  <c r="A3" i="1"/>
  <c r="H3" i="1" s="1"/>
  <c r="AA2" i="1" a="1"/>
  <c r="AA2" i="1" s="1"/>
  <c r="W2" i="1"/>
  <c r="X2" i="1" s="1" a="1"/>
  <c r="X2" i="1" s="1"/>
  <c r="V2" i="1"/>
  <c r="U2" i="1"/>
  <c r="O2" i="1"/>
  <c r="N2" i="1"/>
  <c r="M2" i="1"/>
  <c r="G2" i="1"/>
  <c r="E2" i="1"/>
  <c r="C2" i="1"/>
  <c r="B2" i="1"/>
  <c r="A2" i="1"/>
  <c r="P2" i="1" s="1"/>
  <c r="AC51" i="1" l="1"/>
  <c r="AC12" i="1"/>
  <c r="H7" i="1"/>
  <c r="I7" i="1" s="1"/>
  <c r="I19" i="1"/>
  <c r="I65" i="1"/>
  <c r="I20" i="1"/>
  <c r="AC60" i="1"/>
  <c r="AC20" i="1"/>
  <c r="AC19" i="1"/>
  <c r="I49" i="1"/>
  <c r="L49" i="1" s="1"/>
  <c r="AC17" i="1"/>
  <c r="I47" i="1"/>
  <c r="AC54" i="1"/>
  <c r="H56" i="1"/>
  <c r="AC63" i="1"/>
  <c r="I5" i="1"/>
  <c r="AC92" i="1"/>
  <c r="AC28" i="1"/>
  <c r="AC83" i="1"/>
  <c r="AC16" i="1"/>
  <c r="AC32" i="1"/>
  <c r="AC66" i="1"/>
  <c r="AC62" i="1"/>
  <c r="AC10" i="1"/>
  <c r="AC25" i="1"/>
  <c r="AC33" i="1"/>
  <c r="AC35" i="1"/>
  <c r="H43" i="1"/>
  <c r="I43" i="1" s="1"/>
  <c r="P92" i="1"/>
  <c r="AC77" i="1"/>
  <c r="AC91" i="1"/>
  <c r="I14" i="1"/>
  <c r="AC43" i="1"/>
  <c r="AC22" i="1"/>
  <c r="H28" i="1"/>
  <c r="I35" i="1"/>
  <c r="H42" i="1"/>
  <c r="I42" i="1" s="1"/>
  <c r="AC56" i="1"/>
  <c r="AC68" i="1"/>
  <c r="I77" i="1"/>
  <c r="AC71" i="1"/>
  <c r="AC85" i="1"/>
  <c r="AC8" i="1"/>
  <c r="H55" i="1"/>
  <c r="I30" i="1"/>
  <c r="AC52" i="1"/>
  <c r="AC36" i="1"/>
  <c r="H38" i="1"/>
  <c r="I38" i="1" s="1"/>
  <c r="AC39" i="1"/>
  <c r="H41" i="1"/>
  <c r="I41" i="1" s="1"/>
  <c r="K41" i="1" s="1"/>
  <c r="AC47" i="1"/>
  <c r="AC64" i="1"/>
  <c r="I68" i="1"/>
  <c r="I72" i="1"/>
  <c r="AC88" i="1"/>
  <c r="P25" i="1"/>
  <c r="P50" i="1"/>
  <c r="I56" i="1"/>
  <c r="L56" i="1" s="1"/>
  <c r="AC18" i="1"/>
  <c r="I12" i="1"/>
  <c r="K12" i="1" s="1"/>
  <c r="AC27" i="1"/>
  <c r="P35" i="1"/>
  <c r="H75" i="1"/>
  <c r="I75" i="1" s="1"/>
  <c r="L75" i="1" s="1"/>
  <c r="I87" i="1"/>
  <c r="L87" i="1" s="1"/>
  <c r="P49" i="1"/>
  <c r="AC90" i="1"/>
  <c r="AC42" i="1"/>
  <c r="I8" i="1"/>
  <c r="L8" i="1" s="1"/>
  <c r="AC11" i="1"/>
  <c r="I25" i="1"/>
  <c r="L25" i="1" s="1"/>
  <c r="I27" i="1"/>
  <c r="K27" i="1" s="1"/>
  <c r="AC31" i="1"/>
  <c r="AC48" i="1"/>
  <c r="AC69" i="1"/>
  <c r="P72" i="1"/>
  <c r="AC75" i="1"/>
  <c r="I80" i="1"/>
  <c r="L80" i="1" s="1"/>
  <c r="AC82" i="1"/>
  <c r="H86" i="1"/>
  <c r="I86" i="1" s="1"/>
  <c r="AC87" i="1"/>
  <c r="AC4" i="1"/>
  <c r="AC7" i="1"/>
  <c r="I29" i="1"/>
  <c r="K29" i="1" s="1"/>
  <c r="AC34" i="1"/>
  <c r="AC45" i="1"/>
  <c r="AC78" i="1"/>
  <c r="AC81" i="1"/>
  <c r="I91" i="1"/>
  <c r="K91" i="1" s="1"/>
  <c r="AC46" i="1"/>
  <c r="H22" i="1"/>
  <c r="I22" i="1" s="1"/>
  <c r="K22" i="1" s="1"/>
  <c r="H39" i="1"/>
  <c r="I39" i="1" s="1"/>
  <c r="L39" i="1" s="1"/>
  <c r="I73" i="1"/>
  <c r="L73" i="1" s="1"/>
  <c r="AC5" i="1"/>
  <c r="I26" i="1"/>
  <c r="I4" i="1"/>
  <c r="L4" i="1" s="1"/>
  <c r="H15" i="1"/>
  <c r="I15" i="1" s="1"/>
  <c r="H58" i="1"/>
  <c r="I58" i="1" s="1"/>
  <c r="L58" i="1" s="1"/>
  <c r="AC3" i="1"/>
  <c r="AC13" i="1"/>
  <c r="P23" i="1"/>
  <c r="P47" i="1"/>
  <c r="AC58" i="1"/>
  <c r="I62" i="1"/>
  <c r="K62" i="1" s="1"/>
  <c r="I67" i="1"/>
  <c r="L67" i="1" s="1"/>
  <c r="P87" i="1"/>
  <c r="H90" i="1"/>
  <c r="I90" i="1" s="1"/>
  <c r="K47" i="1"/>
  <c r="L47" i="1"/>
  <c r="K65" i="1"/>
  <c r="L65" i="1"/>
  <c r="P18" i="1"/>
  <c r="P45" i="1"/>
  <c r="AC9" i="1"/>
  <c r="H13" i="1"/>
  <c r="I13" i="1" s="1"/>
  <c r="L13" i="1" s="1"/>
  <c r="AC15" i="1"/>
  <c r="I18" i="1"/>
  <c r="K18" i="1" s="1"/>
  <c r="I21" i="1"/>
  <c r="K21" i="1" s="1"/>
  <c r="AC29" i="1"/>
  <c r="I32" i="1"/>
  <c r="L32" i="1" s="1"/>
  <c r="AC41" i="1"/>
  <c r="H48" i="1"/>
  <c r="I48" i="1" s="1"/>
  <c r="K48" i="1" s="1"/>
  <c r="K49" i="1"/>
  <c r="H51" i="1"/>
  <c r="I51" i="1" s="1"/>
  <c r="K51" i="1" s="1"/>
  <c r="P59" i="1"/>
  <c r="P60" i="1"/>
  <c r="P64" i="1"/>
  <c r="P65" i="1"/>
  <c r="I66" i="1"/>
  <c r="K66" i="1" s="1"/>
  <c r="P67" i="1"/>
  <c r="P68" i="1"/>
  <c r="AC79" i="1"/>
  <c r="P80" i="1"/>
  <c r="AC84" i="1"/>
  <c r="AC89" i="1"/>
  <c r="I92" i="1"/>
  <c r="L92" i="1" s="1"/>
  <c r="P33" i="1"/>
  <c r="AC2" i="1"/>
  <c r="P3" i="1"/>
  <c r="AC26" i="1"/>
  <c r="P27" i="1"/>
  <c r="AC55" i="1"/>
  <c r="P62" i="1"/>
  <c r="AC65" i="1"/>
  <c r="P29" i="1"/>
  <c r="I34" i="1"/>
  <c r="L34" i="1" s="1"/>
  <c r="AC38" i="1"/>
  <c r="I45" i="1"/>
  <c r="K45" i="1" s="1"/>
  <c r="AC72" i="1"/>
  <c r="AC73" i="1"/>
  <c r="H78" i="1"/>
  <c r="I78" i="1" s="1"/>
  <c r="L78" i="1" s="1"/>
  <c r="P85" i="1"/>
  <c r="P89" i="1"/>
  <c r="I6" i="1"/>
  <c r="L6" i="1" s="1"/>
  <c r="P10" i="1"/>
  <c r="P11" i="1"/>
  <c r="P31" i="1"/>
  <c r="I57" i="1"/>
  <c r="K57" i="1" s="1"/>
  <c r="AC67" i="1"/>
  <c r="I9" i="1"/>
  <c r="K9" i="1" s="1"/>
  <c r="AC14" i="1"/>
  <c r="I3" i="1"/>
  <c r="K3" i="1" s="1"/>
  <c r="AC6" i="1"/>
  <c r="I11" i="1"/>
  <c r="L11" i="1" s="1"/>
  <c r="H17" i="1"/>
  <c r="I17" i="1" s="1"/>
  <c r="P20" i="1"/>
  <c r="I23" i="1"/>
  <c r="K23" i="1" s="1"/>
  <c r="AC24" i="1"/>
  <c r="I31" i="1"/>
  <c r="L31" i="1" s="1"/>
  <c r="I33" i="1"/>
  <c r="L33" i="1" s="1"/>
  <c r="AC37" i="1"/>
  <c r="I44" i="1"/>
  <c r="L44" i="1" s="1"/>
  <c r="AC50" i="1"/>
  <c r="I53" i="1"/>
  <c r="L53" i="1" s="1"/>
  <c r="H70" i="1"/>
  <c r="I70" i="1" s="1"/>
  <c r="K70" i="1" s="1"/>
  <c r="P73" i="1"/>
  <c r="P77" i="1"/>
  <c r="P6" i="1"/>
  <c r="AC23" i="1"/>
  <c r="AC44" i="1"/>
  <c r="I55" i="1"/>
  <c r="L55" i="1" s="1"/>
  <c r="I69" i="1"/>
  <c r="K69" i="1" s="1"/>
  <c r="AC70" i="1"/>
  <c r="I89" i="1"/>
  <c r="P91" i="1"/>
  <c r="P44" i="1"/>
  <c r="I28" i="1"/>
  <c r="K28" i="1" s="1"/>
  <c r="I63" i="1"/>
  <c r="K63" i="1" s="1"/>
  <c r="AC76" i="1"/>
  <c r="K5" i="1"/>
  <c r="L5" i="1"/>
  <c r="K26" i="1"/>
  <c r="L26" i="1"/>
  <c r="K14" i="1"/>
  <c r="L14" i="1"/>
  <c r="L20" i="1"/>
  <c r="K20" i="1"/>
  <c r="K13" i="1"/>
  <c r="L21" i="1"/>
  <c r="K35" i="1"/>
  <c r="L35" i="1"/>
  <c r="L45" i="1"/>
  <c r="K30" i="1"/>
  <c r="L30" i="1"/>
  <c r="L19" i="1"/>
  <c r="K19" i="1"/>
  <c r="K43" i="1"/>
  <c r="L43" i="1"/>
  <c r="I10" i="1"/>
  <c r="K42" i="1"/>
  <c r="L42" i="1"/>
  <c r="L68" i="1"/>
  <c r="K68" i="1"/>
  <c r="K25" i="1"/>
  <c r="H61" i="1"/>
  <c r="I61" i="1" s="1"/>
  <c r="P61" i="1"/>
  <c r="P14" i="1"/>
  <c r="AC21" i="1"/>
  <c r="P24" i="1"/>
  <c r="AC74" i="1"/>
  <c r="H2" i="1"/>
  <c r="I2" i="1" s="1"/>
  <c r="P12" i="1"/>
  <c r="H16" i="1"/>
  <c r="I16" i="1" s="1"/>
  <c r="P21" i="1"/>
  <c r="AC30" i="1"/>
  <c r="P53" i="1"/>
  <c r="H54" i="1"/>
  <c r="P54" i="1"/>
  <c r="P57" i="1"/>
  <c r="I59" i="1"/>
  <c r="I64" i="1"/>
  <c r="P66" i="1"/>
  <c r="H74" i="1"/>
  <c r="I74" i="1" s="1"/>
  <c r="P74" i="1"/>
  <c r="AC86" i="1"/>
  <c r="K67" i="1"/>
  <c r="L72" i="1"/>
  <c r="K72" i="1"/>
  <c r="H40" i="1"/>
  <c r="I40" i="1" s="1"/>
  <c r="P40" i="1"/>
  <c r="AC61" i="1"/>
  <c r="P5" i="1"/>
  <c r="I60" i="1"/>
  <c r="H71" i="1"/>
  <c r="I71" i="1" s="1"/>
  <c r="P71" i="1"/>
  <c r="H81" i="1"/>
  <c r="I81" i="1" s="1"/>
  <c r="P81" i="1"/>
  <c r="L91" i="1"/>
  <c r="P34" i="1"/>
  <c r="AC57" i="1"/>
  <c r="P9" i="1"/>
  <c r="I24" i="1"/>
  <c r="P30" i="1"/>
  <c r="AC40" i="1"/>
  <c r="P32" i="1"/>
  <c r="I50" i="1"/>
  <c r="H52" i="1"/>
  <c r="I52" i="1" s="1"/>
  <c r="P8" i="1"/>
  <c r="H37" i="1"/>
  <c r="I37" i="1" s="1"/>
  <c r="H46" i="1"/>
  <c r="I46" i="1" s="1"/>
  <c r="L77" i="1"/>
  <c r="K77" i="1"/>
  <c r="P4" i="1"/>
  <c r="P19" i="1"/>
  <c r="P26" i="1"/>
  <c r="H36" i="1"/>
  <c r="I36" i="1" s="1"/>
  <c r="P36" i="1"/>
  <c r="I54" i="1"/>
  <c r="H79" i="1"/>
  <c r="I79" i="1" s="1"/>
  <c r="P79" i="1"/>
  <c r="H82" i="1"/>
  <c r="I82" i="1" s="1"/>
  <c r="H84" i="1"/>
  <c r="I84" i="1" s="1"/>
  <c r="P84" i="1"/>
  <c r="AC49" i="1"/>
  <c r="P69" i="1"/>
  <c r="P76" i="1"/>
  <c r="I85" i="1"/>
  <c r="I76" i="1"/>
  <c r="H83" i="1"/>
  <c r="I83" i="1" s="1"/>
  <c r="H88" i="1"/>
  <c r="I88" i="1" s="1"/>
  <c r="AC53" i="1"/>
  <c r="AC80" i="1"/>
  <c r="L7" i="1" l="1"/>
  <c r="K7" i="1"/>
  <c r="L22" i="1"/>
  <c r="K33" i="1"/>
  <c r="K34" i="1"/>
  <c r="K56" i="1"/>
  <c r="K31" i="1"/>
  <c r="L3" i="1"/>
  <c r="L41" i="1"/>
  <c r="K6" i="1"/>
  <c r="L9" i="1"/>
  <c r="K53" i="1"/>
  <c r="L51" i="1"/>
  <c r="K86" i="1"/>
  <c r="L86" i="1"/>
  <c r="L38" i="1"/>
  <c r="K38" i="1"/>
  <c r="L62" i="1"/>
  <c r="K78" i="1"/>
  <c r="K4" i="1"/>
  <c r="L27" i="1"/>
  <c r="K80" i="1"/>
  <c r="L23" i="1"/>
  <c r="L18" i="1"/>
  <c r="L57" i="1"/>
  <c r="K75" i="1"/>
  <c r="K44" i="1"/>
  <c r="K87" i="1"/>
  <c r="L66" i="1"/>
  <c r="K90" i="1"/>
  <c r="L90" i="1"/>
  <c r="L15" i="1"/>
  <c r="K15" i="1"/>
  <c r="K58" i="1"/>
  <c r="K8" i="1"/>
  <c r="L63" i="1"/>
  <c r="L29" i="1"/>
  <c r="K92" i="1"/>
  <c r="L70" i="1"/>
  <c r="L12" i="1"/>
  <c r="K73" i="1"/>
  <c r="K39" i="1"/>
  <c r="K11" i="1"/>
  <c r="K32" i="1"/>
  <c r="L48" i="1"/>
  <c r="L28" i="1"/>
  <c r="L89" i="1"/>
  <c r="K89" i="1"/>
  <c r="K55" i="1"/>
  <c r="L69" i="1"/>
  <c r="L82" i="1"/>
  <c r="K82" i="1"/>
  <c r="L2" i="1"/>
  <c r="K2" i="1"/>
  <c r="K46" i="1"/>
  <c r="L46" i="1"/>
  <c r="K52" i="1"/>
  <c r="L52" i="1"/>
  <c r="K50" i="1"/>
  <c r="L50" i="1"/>
  <c r="K71" i="1"/>
  <c r="L71" i="1"/>
  <c r="L10" i="1"/>
  <c r="K10" i="1"/>
  <c r="L36" i="1"/>
  <c r="K36" i="1"/>
  <c r="L60" i="1"/>
  <c r="K60" i="1"/>
  <c r="K74" i="1"/>
  <c r="L74" i="1"/>
  <c r="K61" i="1"/>
  <c r="L61" i="1"/>
  <c r="L17" i="1"/>
  <c r="K17" i="1"/>
  <c r="K37" i="1"/>
  <c r="L37" i="1"/>
  <c r="L84" i="1"/>
  <c r="K84" i="1"/>
  <c r="L64" i="1"/>
  <c r="K64" i="1"/>
  <c r="K76" i="1"/>
  <c r="L76" i="1"/>
  <c r="L59" i="1"/>
  <c r="K59" i="1"/>
  <c r="K81" i="1"/>
  <c r="L81" i="1"/>
  <c r="L79" i="1"/>
  <c r="K79" i="1"/>
  <c r="K40" i="1"/>
  <c r="L40" i="1"/>
  <c r="K54" i="1"/>
  <c r="L54" i="1"/>
  <c r="L88" i="1"/>
  <c r="K88" i="1"/>
  <c r="K83" i="1"/>
  <c r="L83" i="1"/>
  <c r="L85" i="1"/>
  <c r="K85" i="1"/>
  <c r="L24" i="1"/>
  <c r="K24" i="1"/>
  <c r="L16" i="1"/>
  <c r="K16"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<sst xmlns="http://schemas.openxmlformats.org/spreadsheetml/2006/main" count="682" uniqueCount="247">
  <si>
    <t>Nº. CONTRATO</t>
  </si>
  <si>
    <t>NOMBRE DEL CONTRATISTA</t>
  </si>
  <si>
    <t>MODALIDAD</t>
  </si>
  <si>
    <t>PROCESO SECOP II</t>
  </si>
  <si>
    <t>OBJETO</t>
  </si>
  <si>
    <t>VALOR INICIAL</t>
  </si>
  <si>
    <t>VALOR ADJUDICADO</t>
  </si>
  <si>
    <t>ADICIÓN / REDUCCIÓN</t>
  </si>
  <si>
    <t>VALOR ACTUAL DEL CONTRATO</t>
  </si>
  <si>
    <t>RECURSOS PAGADOS (Info ejecución secop II o TVEC a corte del 30 mes anterior.</t>
  </si>
  <si>
    <t>RECURSOS PTES POR PAGAR</t>
  </si>
  <si>
    <t>EJECUCIÓN PRESUPUESTAL</t>
  </si>
  <si>
    <t>Fecha de firma del contrato</t>
  </si>
  <si>
    <t>Fecha de Inicio del Contrato (ACTA DE INICIO)</t>
  </si>
  <si>
    <t>Fecha Fin del contrato</t>
  </si>
  <si>
    <t>FECHA DE PRORROGA (HASTA)/FEHA DE TERMINACIÓN ANTICIPADA</t>
  </si>
  <si>
    <t>TIPO DE CONTRATO</t>
  </si>
  <si>
    <t>DESTINO DEL GASTO</t>
  </si>
  <si>
    <t>LINK DEL PROCESO</t>
  </si>
  <si>
    <t>ESTADO</t>
  </si>
  <si>
    <t>PN/PJ</t>
  </si>
  <si>
    <t>COORDINACIÓN</t>
  </si>
  <si>
    <t>SUPERVISOR</t>
  </si>
  <si>
    <t>NÚM ID SUPERVISOR</t>
  </si>
  <si>
    <t>TIPO ID PROVEEDOR</t>
  </si>
  <si>
    <t>NUM. ID PROVEEDOR</t>
  </si>
  <si>
    <t>DV</t>
  </si>
  <si>
    <t>CÓDIGO DE CATEGORÍA PRINCIPAL</t>
  </si>
  <si>
    <t>PLAZO DEL CONTRATO (EN DÍAS)</t>
  </si>
  <si>
    <t>CDP</t>
  </si>
  <si>
    <t>RP</t>
  </si>
  <si>
    <t>LUGAR</t>
  </si>
  <si>
    <t>CONTRATACION DIRECTA 1 DE 2026</t>
  </si>
  <si>
    <t>PRESTACIÓN DE SERVICIOS PROFESIONALES o APOYO A LA GESTIÓN</t>
  </si>
  <si>
    <t>Inversión</t>
  </si>
  <si>
    <t>https://community.secop.gov.co/Public/Tendering/OpportunityDetail/Index?noticeUID=CO1.NTC.9484942&amp;isFromPublicArea=True&amp;isModal=true&amp;asPopupView=true</t>
  </si>
  <si>
    <t>En ejecución</t>
  </si>
  <si>
    <t>CC</t>
  </si>
  <si>
    <t>N/A</t>
  </si>
  <si>
    <t>BOGOTÁ D.C.</t>
  </si>
  <si>
    <t>CONTRATACION DIRECTA 2 DE 2026</t>
  </si>
  <si>
    <t>https://community.secop.gov.co/Public/Tendering/OpportunityDetail/Index?noticeUID=CO1.NTC.9485612&amp;isFromPublicArea=True&amp;isModal=true&amp;asPopupView=true</t>
  </si>
  <si>
    <t>CONTRATACION DIRECTA 3 DE 2026</t>
  </si>
  <si>
    <t>https://community.secop.gov.co/Public/Tendering/OpportunityDetail/Index?noticeUID=CO1.NTC.9485969&amp;isFromPublicArea=True&amp;isModal=true&amp;asPopupView=true</t>
  </si>
  <si>
    <t>CONTRATACION DIRECTA 4 DE 2026</t>
  </si>
  <si>
    <t>https://community.secop.gov.co/Public/Tendering/OpportunityDetail/Index?noticeUID=CO1.NTC.9485897&amp;isFromPublicArea=True&amp;isModal=true&amp;asPopupView=true</t>
  </si>
  <si>
    <t>CONTRATACION DIRECTA 5 DE 2026</t>
  </si>
  <si>
    <t>https://community.secop.gov.co/Public/Tendering/OpportunityDetail/Index?noticeUID=CO1.NTC.9486485&amp;isFromPublicArea=True&amp;isModal=true&amp;asPopupView=true</t>
  </si>
  <si>
    <t>CONTRATACION DIRECTA 6 DE 2026</t>
  </si>
  <si>
    <t>https://community.secop.gov.co/Public/Tendering/OpportunityDetail/Index?noticeUID=CO1.NTC.9487377&amp;isFromPublicArea=True&amp;isModal=true&amp;asPopupView=true</t>
  </si>
  <si>
    <t>CONTRATACION DIRECTA 7 DE 2026</t>
  </si>
  <si>
    <t>https://community.secop.gov.co/Public/Tendering/OpportunityDetail/Index?noticeUID=CO1.NTC.9504962&amp;isFromPublicArea=True&amp;isModal=true&amp;asPopupView=true</t>
  </si>
  <si>
    <t>CONTRATACION DIRECTA 8 DE 2026</t>
  </si>
  <si>
    <t>https://community.secop.gov.co/Public/Tendering/OpportunityDetail/Index?noticeUID=CO1.NTC.9488384&amp;isFromPublicArea=True&amp;isModal=true&amp;asPopupView=true</t>
  </si>
  <si>
    <t>CONTRATACION DIRECTA 9 DE 2026</t>
  </si>
  <si>
    <t>Funcionamiento</t>
  </si>
  <si>
    <t>https://community.secop.gov.co/Public/Tendering/OpportunityDetail/Index?noticeUID=CO1.NTC.9415528&amp;isFromPublicArea=True&amp;isModal=true&amp;asPopupView=true</t>
  </si>
  <si>
    <t>CONTRATACION DIRECTA 10 DE 2026</t>
  </si>
  <si>
    <t>https://community.secop.gov.co/Public/Tendering/OpportunityDetail/Index?noticeUID=CO1.NTC.9415572&amp;isFromPublicArea=True&amp;isModal=true&amp;asPopupView=true</t>
  </si>
  <si>
    <t>LILIANA ROMERO SAAVEDRA</t>
  </si>
  <si>
    <t>CONTRATACION DIRECTA 11 DE 2026</t>
  </si>
  <si>
    <t>https://community.secop.gov.co/Public/Tendering/OpportunityDetail/Index?noticeUID=CO1.NTC.9485342&amp;isFromPublicArea=True&amp;isModal=true&amp;asPopupView=true</t>
  </si>
  <si>
    <t>CONTRATACION DIRECTA 12 DE 2026</t>
  </si>
  <si>
    <t>https://community.secop.gov.co/Public/Tendering/OpportunityDetail/Index?noticeUID=CO1.NTC.9489116&amp;isFromPublicArea=True&amp;isModal=true&amp;asPopupView=true</t>
  </si>
  <si>
    <t>FABIO EDUARDO VÁSQUEZ HENAO</t>
  </si>
  <si>
    <t>CONTRATACION DIRECTA 13 DE 2026</t>
  </si>
  <si>
    <t>https://community.secop.gov.co/Public/Tendering/OpportunityDetail/Index?noticeUID=CO1.NTC.9487901&amp;isFromPublicArea=True&amp;isModal=true&amp;asPopupView=true</t>
  </si>
  <si>
    <t>JUAN SEBASTIAN SALAMANCA CALLE</t>
  </si>
  <si>
    <t>CONTRATACION DIRECTA 14 DE 2026</t>
  </si>
  <si>
    <t>https://community.secop.gov.co/Public/Tendering/OpportunityDetail/Index?noticeUID=CO1.NTC.9487596&amp;isFromPublicArea=True&amp;isModal=true&amp;asPopupView=true</t>
  </si>
  <si>
    <t>CONTRATACION DIRECTA 15 DE 2026</t>
  </si>
  <si>
    <t>https://community.secop.gov.co/Public/Tendering/OpportunityDetail/Index?noticeUID=CO1.NTC.9488102&amp;isFromPublicArea=True&amp;isModal=true&amp;asPopupView=true</t>
  </si>
  <si>
    <t>CONTRATACION DIRECTA 16 DE 2026</t>
  </si>
  <si>
    <t>PRESTACIÓN DE SERVICIOS</t>
  </si>
  <si>
    <t>https://community.secop.gov.co/Public/Tendering/OpportunityDetail/Index?noticeUID=CO1.NTC.9487918&amp;isFromPublicArea=True&amp;isModal=true&amp;asPopupView=true</t>
  </si>
  <si>
    <t>NIT</t>
  </si>
  <si>
    <t>LUIS CARLOS CUBILLOS MELLAO</t>
  </si>
  <si>
    <t>CONTRATACION DIRECTA 17 DE 2026</t>
  </si>
  <si>
    <t>https://community.secop.gov.co/Public/Tendering/OpportunityDetail/Index?noticeUID=CO1.NTC.9531296&amp;isFromPublicArea=True&amp;isModal=true&amp;asPopupView=true</t>
  </si>
  <si>
    <t>CONTRATACION DIRECTA 18 DE 2026</t>
  </si>
  <si>
    <t>https://community.secop.gov.co/Public/Tendering/OpportunityDetail/Index?noticeUID=CO1.NTC.9489223&amp;isFromPublicArea=True&amp;isModal=true&amp;asPopupView=true</t>
  </si>
  <si>
    <t>CONTRATACION DIRECTA 19 DE 2026</t>
  </si>
  <si>
    <t>https://community.secop.gov.co/Public/Tendering/OpportunityDetail/Index?noticeUID=CO1.NTC.9491744&amp;isFromPublicArea=True&amp;isModal=true&amp;asPopupView=true</t>
  </si>
  <si>
    <t>CONTRATACION DIRECTA 20 DE 2026</t>
  </si>
  <si>
    <t>https://community.secop.gov.co/Public/Tendering/OpportunityDetail/Index?noticeUID=CO1.NTC.9489580&amp;isFromPublicArea=True&amp;isModal=true&amp;asPopupView=true</t>
  </si>
  <si>
    <t>JULIANA VINASCO ZAPATA</t>
  </si>
  <si>
    <t>CONTRATACION DIRECTA 21 DE 2026</t>
  </si>
  <si>
    <t>https://community.secop.gov.co/Public/Tendering/OpportunityDetail/Index?noticeUID=CO1.NTC.9508772&amp;isFromPublicArea=True&amp;isModal=true&amp;asPopupView=true</t>
  </si>
  <si>
    <t>LILIAM AMPARO CUBILLOS</t>
  </si>
  <si>
    <t>CONTRATACION DIRECTA 22 DE 2026</t>
  </si>
  <si>
    <t>https://community.secop.gov.co/Public/Tendering/OpportunityDetail/Index?noticeUID=CO1.NTC.9553368&amp;isFromPublicArea=True&amp;isModal=true&amp;asPopupView=true</t>
  </si>
  <si>
    <t>MÓNICA TATIANA MOJÍCA LIZARAZO</t>
  </si>
  <si>
    <t>CONTRATACION DIRECTA 23 DE 2026</t>
  </si>
  <si>
    <t>https://community.secop.gov.co/Public/Tendering/OpportunityDetail/Index?noticeUID=CO1.NTC.9527648&amp;isFromPublicArea=True&amp;isModal=true&amp;asPopupView=true</t>
  </si>
  <si>
    <t>ANA BEATRIZ RUIZ ERAZO</t>
  </si>
  <si>
    <t>CONTRATACION DIRECTA 24 DE 2026</t>
  </si>
  <si>
    <t>https://community.secop.gov.co/Public/Tendering/OpportunityDetail/Index?noticeUID=CO1.NTC.9488101&amp;isFromPublicArea=True&amp;isModal=true&amp;asPopupView=true</t>
  </si>
  <si>
    <t>GUILLERMO ALBERTO CRUZ ALEMÁN</t>
  </si>
  <si>
    <t>CONTRATACION DIRECTA 25 DE 2026</t>
  </si>
  <si>
    <t>Prestación de servicios profesionales altamente especializados en materia de economía y regulación de mercados de telecomunicaciones; para apoyar la ejecución de proyectos del pilar estratégico Mercados y Competencia» de la Agenda Regulatoria 2026-2027; tales como la revisión de mercados fijos; tele</t>
  </si>
  <si>
    <t>https://community.secop.gov.co/Public/Tendering/OpportunityDetail/Index?noticeUID=CO1.NTC.9528964&amp;isFromPublicArea=True&amp;isModal=true&amp;asPopupView=true</t>
  </si>
  <si>
    <t>CONTRATACION DIRECTA 26 DE 2026</t>
  </si>
  <si>
    <t>https://community.secop.gov.co/Public/Tendering/OpportunityDetail/Index?noticeUID=CO1.NTC.9606893&amp;isFromPublicArea=True&amp;isModal=true&amp;asPopupView=true</t>
  </si>
  <si>
    <t>CONTRATACION DIRECTA 27 DE 2026</t>
  </si>
  <si>
    <t>https://community.secop.gov.co/Public/Tendering/OpportunityDetail/Index?noticeUID=CO1.NTC.9511943&amp;isFromPublicArea=True&amp;isModal=true&amp;asPopupView=true</t>
  </si>
  <si>
    <t>CONTRATACION DIRECTA 28 DE 2026</t>
  </si>
  <si>
    <t>https://community.secop.gov.co/Public/Tendering/OpportunityDetail/Index?noticeUID=CO1.NTC.9513223&amp;isFromPublicArea=True&amp;isModal=true&amp;asPopupView=true</t>
  </si>
  <si>
    <t>CONTRATACION DIRECTA 29 DE 2026</t>
  </si>
  <si>
    <t>https://community.secop.gov.co/Public/Tendering/OpportunityDetail/Index?noticeUID=CO1.NTC.9516912&amp;isFromPublicArea=True&amp;isModal=true&amp;asPopupView=true</t>
  </si>
  <si>
    <t>CONTRATACION DIRECTA 30 DE 2026</t>
  </si>
  <si>
    <t>https://community.secop.gov.co/Public/Tendering/OpportunityDetail/Index?noticeUID=CO1.NTC.9516969&amp;isFromPublicArea=True&amp;isModal=true&amp;asPopupView=true</t>
  </si>
  <si>
    <t>CONTRATACION DIRECTA 31 DE 2026</t>
  </si>
  <si>
    <t>https://community.secop.gov.co/Public/Tendering/OpportunityDetail/Index?noticeUID=CO1.NTC.9553519&amp;isFromPublicArea=True&amp;isModal=true&amp;asPopupView=true</t>
  </si>
  <si>
    <t>B48.6346276</t>
  </si>
  <si>
    <t>CONTRATACION DIRECTA 32 DE 2026</t>
  </si>
  <si>
    <t>https://community.secop.gov.co/Public/Tendering/OpportunityDetail/Index?noticeUID=CO1.NTC.9487655&amp;isFromPublicArea=True&amp;isModal=true&amp;asPopupView=true</t>
  </si>
  <si>
    <t>CONTRATACION DIRECTA 33 DE 2026</t>
  </si>
  <si>
    <t>https://community.secop.gov.co/Public/Tendering/OpportunityDetail/Index?noticeUID=CO1.NTC.9491852&amp;isFromPublicArea=True&amp;isModal=true&amp;asPopupView=true</t>
  </si>
  <si>
    <t>52OO36679</t>
  </si>
  <si>
    <t>CONTRATACION DIRECTA 34 DE 2026</t>
  </si>
  <si>
    <t>https://community.secop.gov.co/Public/Tendering/OpportunityDetail/Index?noticeUID=CO1.NTC.9486150&amp;isFromPublicArea=True&amp;isModal=true&amp;asPopupView=true</t>
  </si>
  <si>
    <t>ALVARO JOSÉ RIASCOS VILLEGAS</t>
  </si>
  <si>
    <t>CONTRATACION DIRECTA 35 DE 2026</t>
  </si>
  <si>
    <t>https://community.secop.gov.co/Public/Tendering/OpportunityDetail/Index?noticeUID=CO1.NTC.9556924&amp;isFromPublicArea=True&amp;isModal=true&amp;asPopupView=true</t>
  </si>
  <si>
    <t>CONTRATACION DIRECTA 36 DE 2026</t>
  </si>
  <si>
    <t>https://community.secop.gov.co/Public/Tendering/OpportunityDetail/Index?noticeUID=CO1.NTC.9527269&amp;isFromPublicArea=True&amp;isModal=true&amp;asPopupView=true</t>
  </si>
  <si>
    <t>CONTRATACION DIRECTA 37 DE 2026</t>
  </si>
  <si>
    <t>https://community.secop.gov.co/Public/Tendering/OpportunityDetail/Index?noticeUID=CO1.NTC.9487762&amp;isFromPublicArea=True&amp;isModal=true&amp;asPopupView=true</t>
  </si>
  <si>
    <t>CONTRATACION DIRECTA 38 DE 2026</t>
  </si>
  <si>
    <t>https://community.secop.gov.co/Public/Tendering/OpportunityDetail/Index?noticeUID=CO1.NTC.9517426&amp;isFromPublicArea=True&amp;isModal=true&amp;asPopupView=true</t>
  </si>
  <si>
    <t>CONTRATACION DIRECTA 39 DE 2026</t>
  </si>
  <si>
    <t>https://community.secop.gov.co/Public/Tendering/OpportunityDetail/Index?noticeUID=CO1.NTC.9538027&amp;isFromPublicArea=True&amp;isModal=true&amp;asPopupView=true</t>
  </si>
  <si>
    <t>CONTRATACION DIRECTA 40 DE 2026</t>
  </si>
  <si>
    <t>https://community.secop.gov.co/Public/Tendering/OpportunityDetail/Index?noticeUID=CO1.NTC.9607474&amp;isFromPublicArea=True&amp;isModal=true&amp;asPopupView=true</t>
  </si>
  <si>
    <t>JUAN MANUEL ROLDAN PEREA</t>
  </si>
  <si>
    <t>CONTRATACION DIRECTA 41 DE 2026</t>
  </si>
  <si>
    <t>https://community.secop.gov.co/Public/Tendering/OpportunityDetail/Index?noticeUID=CO1.NTC.9527021&amp;isFromPublicArea=True&amp;isModal=true&amp;asPopupView=true</t>
  </si>
  <si>
    <t>CONTRATACIÓN DIRECTA 43 DE 2026</t>
  </si>
  <si>
    <t>https://community.secop.gov.co/Public/Tendering/OpportunityDetail/Index?noticeUID=CO1.NTC.9487937&amp;isFromPublicArea=True&amp;isModal=true&amp;asPopupView=true</t>
  </si>
  <si>
    <t>CONTRATACIÓN DIRECTA 44 DE 2026</t>
  </si>
  <si>
    <t>https://community.secop.gov.co/Public/Tendering/OpportunityDetail/Index?noticeUID=CO1.NTC.9487338&amp;isFromPublicArea=True&amp;isModal=true&amp;asPopupView=true</t>
  </si>
  <si>
    <t>CONTRATACION DIRECTA 50 DE 2026</t>
  </si>
  <si>
    <t>https://community.secop.gov.co/Public/Tendering/OpportunityDetail/Index?noticeUID=CO1.NTC.9526987&amp;isFromPublicArea=True&amp;isModal=true&amp;asPopupView=true</t>
  </si>
  <si>
    <t>CAMILO ERNESTO VALENCIA SUESCÚN</t>
  </si>
  <si>
    <t>CONTRATACION DIRECTA 45 DE 2026</t>
  </si>
  <si>
    <t>https://community.secop.gov.co/Public/Tendering/OpportunityDetail/Index?noticeUID=CO1.NTC.9535851&amp;isFromPublicArea=True&amp;isModal=true&amp;asPopupView=true</t>
  </si>
  <si>
    <t>JORGE SANTOS RODRIGUEZ</t>
  </si>
  <si>
    <t>CONTRATACION DIRECTA 46 DE 2026</t>
  </si>
  <si>
    <t>https://community.secop.gov.co/Public/Tendering/OpportunityDetail/Index?noticeUID=CO1.NTC.9527885&amp;isFromPublicArea=True&amp;isModal=true&amp;asPopupView=true</t>
  </si>
  <si>
    <t>CONTRATACION DIRECTA 47 DE 2026</t>
  </si>
  <si>
    <t>https://community.secop.gov.co/Public/Tendering/OpportunityDetail/Index?noticeUID=CO1.NTC.9616424&amp;isFromPublicArea=True&amp;isModal=true&amp;asPopupView=true</t>
  </si>
  <si>
    <t>CONTRATACION DIRECTA 51 DE 2026</t>
  </si>
  <si>
    <t>https://community.secop.gov.co/Public/Tendering/OpportunityDetail/Index?noticeUID=CO1.NTC.9606657&amp;isFromPublicArea=True&amp;isModal=true&amp;asPopupView=true</t>
  </si>
  <si>
    <t>CONTRATACIÓN DIRECTA 52 DE 2026</t>
  </si>
  <si>
    <t>https://community.secop.gov.co/Public/Tendering/OpportunityDetail/Index?noticeUID=CO1.NTC.9608631&amp;isFromPublicArea=True&amp;isModal=true&amp;asPopupView=true</t>
  </si>
  <si>
    <t>CONTRATACIÓN DIRECTA 53 DE 2026</t>
  </si>
  <si>
    <t>https://community.secop.gov.co/Public/Tendering/OpportunityDetail/Index?noticeUID=CO1.NTC.9608633&amp;isFromPublicArea=True&amp;isModal=true&amp;asPopupView=true</t>
  </si>
  <si>
    <t>CONTRATACION DIRECTA 57 DE 2026</t>
  </si>
  <si>
    <t>https://community.secop.gov.co/Public/Tendering/OpportunityDetail/Index?noticeUID=CO1.NTC.9635314&amp;isFromPublicArea=True&amp;isModal=true&amp;asPopupView=true</t>
  </si>
  <si>
    <t>CONTRATACIÓN DIRECTA 54 DE 2026</t>
  </si>
  <si>
    <t>https://community.secop.gov.co/Public/Tendering/OpportunityDetail/Index?noticeUID=CO1.NTC.9634882&amp;isFromPublicArea=True&amp;isModal=true&amp;asPopupView=true</t>
  </si>
  <si>
    <t>CONTRATACION DIRECTA 56 DE 2026</t>
  </si>
  <si>
    <t>https://community.secop.gov.co/Public/Tendering/OpportunityDetail/Index?noticeUID=CO1.NTC.9635860&amp;isFromPublicArea=True&amp;isModal=true&amp;asPopupView=true</t>
  </si>
  <si>
    <t>CONTRATACIÓN DIRECTA 55 DE 2026</t>
  </si>
  <si>
    <t>https://community.secop.gov.co/Public/Tendering/OpportunityDetail/Index?noticeUID=CO1.NTC.9636199&amp;isFromPublicArea=True&amp;isModal=true&amp;asPopupView=true</t>
  </si>
  <si>
    <t>CONTRATACIÓN DIRECTA 59 DE 2026</t>
  </si>
  <si>
    <t>https://community.secop.gov.co/Public/Tendering/OpportunityDetail/Index?noticeUID=CO1.NTC.9816128&amp;isFromPublicArea=True&amp;isModal=true&amp;asPopupView=true</t>
  </si>
  <si>
    <t>MINIMA CUANTIA 49 DE 2026</t>
  </si>
  <si>
    <t>https://community.secop.gov.co/Public/Tendering/OpportunityDetail/Index?noticeUID=CO1.NTC.9528300&amp;isFromPublicArea=True&amp;isModal=true&amp;asPopupView=true</t>
  </si>
  <si>
    <t>SUBASTA INVERSA 42 DE 2026</t>
  </si>
  <si>
    <t>SUMINISTROS</t>
  </si>
  <si>
    <t>https://community.secop.gov.co/Public/Tendering/OpportunityDetail/Index?noticeUID=CO1.NTC.9510142&amp;isFromPublicArea=True&amp;isModal=true&amp;asPopupView=true</t>
  </si>
  <si>
    <t>MINIMA CUANTIA 48 DE 2026</t>
  </si>
  <si>
    <t>https://community.secop.gov.co/Public/Tendering/OpportunityDetail/Index?noticeUID=CO1.NTC.9516591&amp;isFromPublicArea=True&amp;isModal=true&amp;asPopupView=true</t>
  </si>
  <si>
    <t>MÍNIMA CUANTÍA 59 DE 2026</t>
  </si>
  <si>
    <t>https://community.secop.gov.co/Public/Tendering/OpportunityDetail/Index?noticeUID=CO1.NTC.10001131&amp;isFromPublicArea=True&amp;isModal=true&amp;asPopupView=true</t>
  </si>
  <si>
    <t>PMC 61 DE 2026</t>
  </si>
  <si>
    <t>https://community.secop.gov.co/Public/Tendering/OpportunityDetail/Index?noticeUID=CO1.NTC.10016666&amp;isFromPublicArea=True&amp;isModal=true&amp;asPopupView=true</t>
  </si>
  <si>
    <t>MÍNIMA CUANTÍA 60 DE 2026</t>
  </si>
  <si>
    <t>https://community.secop.gov.co/Public/Tendering/OpportunityDetail/Index?noticeUID=CO1.NTC.10015202&amp;isFromPublicArea=True&amp;isModal=true&amp;asPopupView=true</t>
  </si>
  <si>
    <t>MINIMA CUANTIA 62 DE 2025</t>
  </si>
  <si>
    <t>https://community.secop.gov.co/Public/Tendering/OpportunityDetail/Index?noticeUID=CO1.NTC.10022306&amp;isFromPublicArea=True&amp;isModal=true&amp;asPopupView=true</t>
  </si>
  <si>
    <t>MINIMA CUANTIA 65 DE 2026</t>
  </si>
  <si>
    <t>https://community.secop.gov.co/Public/Tendering/OpportunityDetail/Index?noticeUID=CO1.NTC.10053312&amp;isFromPublicArea=True&amp;isModal=true&amp;asPopupView=true</t>
  </si>
  <si>
    <t>MINIMA CUANTIA 64 DE 2026</t>
  </si>
  <si>
    <t>https://community.secop.gov.co/Public/Tendering/OpportunityDetail/Index?noticeUID=CO1.NTC.10021556&amp;isFromPublicArea=True&amp;isModal=true&amp;asPopupView=true</t>
  </si>
  <si>
    <t>MÍNIMA CUANTÍA 67 DE 2026</t>
  </si>
  <si>
    <t>https://community.secop.gov.co/Public/Tendering/OpportunityDetail/Index?noticeUID=CO1.NTC.10077458&amp;isFromPublicArea=True&amp;isModal=true&amp;asPopupView=true</t>
  </si>
  <si>
    <t>MINIMA CUANTIA 68 DE 2026</t>
  </si>
  <si>
    <t>https://community.secop.gov.co/Public/Tendering/OpportunityDetail/Index?noticeUID=CO1.NTC.10099755&amp;isFromPublicArea=True&amp;isModal=true&amp;asPopupView=true</t>
  </si>
  <si>
    <t>Orden de compra 162532</t>
  </si>
  <si>
    <t>https://operaciones.colombiacompra.gov.co/tienda-virtual-del-estado-colombiano/ordenes-compra/162532</t>
  </si>
  <si>
    <t>MÍNIMA CUANTÍA 72 DE 2026</t>
  </si>
  <si>
    <t>https://community.secop.gov.co/Public/Tendering/OpportunityDetail/Index?noticeUID=CO1.NTC.10128576&amp;isFromPublicArea=True&amp;isModal=true&amp;asPopupView=true</t>
  </si>
  <si>
    <t>MINIMA CUANTIA 71 DE 2025</t>
  </si>
  <si>
    <t>https://community.secop.gov.co/Public/Tendering/OpportunityDetail/Index?noticeUID=CO1.NTC.10128609&amp;isFromPublicArea=True&amp;isModal=true&amp;asPopupView=true</t>
  </si>
  <si>
    <t>MÍNIMA CUANTÍA 73 DE 2026</t>
  </si>
  <si>
    <t>https://community.secop.gov.co/Public/Tendering/OpportunityDetail/Index?noticeUID=CO1.NTC.10140135&amp;isFromPublicArea=True&amp;isModal=true&amp;asPopupView=true</t>
  </si>
  <si>
    <t>Orden de compra 163478</t>
  </si>
  <si>
    <t>https://operaciones.colombiacompra.gov.co/tienda-virtual-del-estado-colombiano/ordenes-compra/163478</t>
  </si>
  <si>
    <t>LICITACIÓN PÚBLICA 63 DE 2026</t>
  </si>
  <si>
    <t>https://community.secop.gov.co/Public/Tendering/OpportunityDetail/Index?noticeUID=CO1.NTC.10112609&amp;isFromPublicArea=True&amp;isModal=true&amp;asPopupView=true</t>
  </si>
  <si>
    <t>CONCURSO DE MERITOS 70 DE 2026</t>
  </si>
  <si>
    <t>https://community.secop.gov.co/Public/Tendering/OpportunityDetail/Index?noticeUID=CO1.NTC.10161916&amp;isFromPublicArea=True&amp;isModal=true&amp;asPopupView=true</t>
  </si>
  <si>
    <t>CONCURSO DE MERITOS 69 DE 2025</t>
  </si>
  <si>
    <t xml:space="preserve">CONSULTORÍA </t>
  </si>
  <si>
    <t>https://community.secop.gov.co/Public/Tendering/OpportunityDetail/Index?noticeUID=CO1.NTC.10140964&amp;isFromPublicArea=True&amp;isModal=true&amp;asPopupView=true</t>
  </si>
  <si>
    <t>MINIMA CUANTIA 78 DE 2026</t>
  </si>
  <si>
    <t>https://community.secop.gov.co/Public/Tendering/OpportunityDetail/Index?noticeUID=CO1.NTC.10366033&amp;isFromPublicArea=True&amp;isModal=true&amp;asPopupView=true</t>
  </si>
  <si>
    <t>CONTRATACION DIRECTA 82 DE 2026</t>
  </si>
  <si>
    <t>https://community.secop.gov.co/Public/Tendering/OpportunityDetail/Index?noticeUID=CO1.NTC.10449514&amp;isFromPublicArea=True&amp;isModal=true&amp;asPopupView=true</t>
  </si>
  <si>
    <t xml:space="preserve">SAM 76 DE 2026 </t>
  </si>
  <si>
    <t>https://community.secop.gov.co/Public/Tendering/OpportunityDetail/Index?noticeUID=CO1.NTC.10353282&amp;isFromPublicArea=True&amp;isModal=true&amp;asPopupView=true</t>
  </si>
  <si>
    <t>Firmado</t>
  </si>
  <si>
    <t>Orden de compra 166465</t>
  </si>
  <si>
    <t>https://operaciones.colombiacompra.gov.co/tienda-virtual-del-estado-colombiano/ordenes-compra/166465</t>
  </si>
  <si>
    <t>CONCURSO DE MÉRITOS 80 DE 2026</t>
  </si>
  <si>
    <t>https://community.secop.gov.co/Public/Tendering/OpportunityDetail/Index?noticeUID=CO1.NTC.10429509&amp;isFromPublicArea=True&amp;isModal=true&amp;asPopupView=true</t>
  </si>
  <si>
    <t>CONTRATACIÓN DIRECTA 89 DE 2026</t>
  </si>
  <si>
    <t>https://community.secop.gov.co/Public/Tendering/OpportunityDetail/Index?noticeUID=CO1.NTC.10594647&amp;isFromPublicArea=True&amp;isModal=true&amp;asPopupView=true</t>
  </si>
  <si>
    <t>Aprobado</t>
  </si>
  <si>
    <t>MÍNIMA CUANTÍA 84 DE 2026</t>
  </si>
  <si>
    <t>https://community.secop.gov.co/Public/Tendering/OpportunityDetail/Index?noticeUID=CO1.NTC.10486431&amp;isFromPublicArea=True&amp;isModal=true&amp;asPopupView=true</t>
  </si>
  <si>
    <t>SAM 79 DE 2026</t>
  </si>
  <si>
    <t>https://community.secop.gov.co/Public/Tendering/OpportunityDetail/Index?noticeUID=CO1.NTC.10447063&amp;isFromPublicArea=True&amp;isModal=true&amp;asPopupView=true</t>
  </si>
  <si>
    <t>CONTRATACIÓN DIRECTA 91 DE 2026</t>
  </si>
  <si>
    <t>https://community.secop.gov.co/Public/Tendering/OpportunityDetail/Index?noticeUID=CO1.NTC.10647915&amp;isFromPublicArea=True&amp;isModal=true&amp;asPopupView=true</t>
  </si>
  <si>
    <t>81112103</t>
  </si>
  <si>
    <t>CONTRATACIÓN DIRECTA 92 DE 2026</t>
  </si>
  <si>
    <t>https://community.secop.gov.co/Public/Tendering/OpportunityDetail/Index?noticeUID=CO1.NTC.10649706&amp;isFromPublicArea=True&amp;isModal=true&amp;asPopupView=true</t>
  </si>
  <si>
    <t>83121703</t>
  </si>
  <si>
    <t>CONTRATACIÓN DIRECTA 95 DE 2026</t>
  </si>
  <si>
    <t>https://community.secop.gov.co/Public/Tendering/OpportunityDetail/Index?noticeUID=CO1.NTC.10685188&amp;isFromPublicArea=True&amp;isModal=true&amp;asPopupView=true</t>
  </si>
  <si>
    <t>SAM 81 DE 2026</t>
  </si>
  <si>
    <t>https://community.secop.gov.co/Public/Tendering/OpportunityDetail/Index?noticeUID=CO1.NTC.10473469&amp;isFromPublicArea=True&amp;isModal=true&amp;asPopupView=true</t>
  </si>
  <si>
    <t xml:space="preserve">43222501 </t>
  </si>
  <si>
    <t>MÍNIMA CUANTÍA 83 DE 2026</t>
  </si>
  <si>
    <t>https://community.secop.gov.co/Public/Tendering/OpportunityDetail/Index?noticeUID=CO1.NTC.10451115&amp;isFromPublicArea=True&amp;isModal=true&amp;asPopupView=true</t>
  </si>
  <si>
    <t>Prestación de servicios profesionales o Apoyo a la gestión</t>
  </si>
  <si>
    <t>CONTRATACIÓN DIRECTA 94 DE 2026</t>
  </si>
  <si>
    <t>https://community.secop.gov.co/Public/Tendering/ContractNoticeManagement/Index?currentLanguage=es-CO&amp;Page=login&amp;Country=CO&amp;SkinName=CCE</t>
  </si>
  <si>
    <t>MÍNIMA CUANTÍA 86 DE 2026</t>
  </si>
  <si>
    <t>https://community.secop.gov.co/Public/Tendering/OpportunityDetail/Index?noticeUID=CO1.NTC.10532925&amp;isFromPublicArea=True&amp;isModal=true&amp;asPopupView=true</t>
  </si>
  <si>
    <t>CONTRATACIÓN DIRECTA 93 DE 2026</t>
  </si>
  <si>
    <t>https://community.secop.gov.co/Public/Tendering/OpportunityDetail/Index?noticeUID=CO1.NTC.10685277&amp;isFromPublicArea=True&amp;isModal=true&amp;asPopupView=true</t>
  </si>
  <si>
    <t>MÍNIMA CUANTÍA 87 DE 2026</t>
  </si>
  <si>
    <t>https://community.secop.gov.co/Public/Tendering/OpportunityDetail/Index?noticeUID=CO1.NTC.10575387&amp;isFromPublicArea=True&amp;isModal=true&amp;asPopupView=true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</si>
</sst>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164" formatCode="_-[$$-409]* #,##0.00_ ;_-[$$-409]* \-#,##0.00\ ;_-[$$-409]* &quot;-&quot;??_ ;_-@_ "/>
    <numFmt numFmtId="165" formatCode="[$$-240A]\ #,##0"/>
    <numFmt numFmtId="166" formatCode="&quot;$&quot;#,##0"/>
    <numFmt numFmtId="167" formatCode="&quot;$&quot;#,##0_);[Red]\(&quot;$&quot;#,##0\)"/>
  </numFmts>
  <fonts count="12" x14ac:knownFonts="1">
    <font>
      <sz val="11"/>
      <color theme="1"/>
      <name val="Calibri"/>
      <family val="2"/>
      <scheme val="minor"/>
    </font>
    <font>
      <sz val="11"/>
      <color theme="1"/>
      <name val="Calibri"/>
      <family val="2"/>
      <scheme val="minor"/>
    </font>
    <font>
      <u/>
      <sz val="11"/>
      <color theme="10"/>
      <name val="Calibri"/>
      <family val="2"/>
      <scheme val="minor"/>
    </font>
    <font>
      <b/>
      <sz val="10"/>
      <color theme="0"/>
      <name val="Tahoma"/>
      <family val="2"/>
    </font>
    <font>
      <b/>
      <sz val="10"/>
      <color rgb="FFFF0000"/>
      <name val="Tahoma"/>
      <family val="2"/>
    </font>
    <font>
      <sz val="11"/>
      <color theme="0"/>
      <name val="Calibri Light"/>
      <family val="2"/>
      <scheme val="major"/>
    </font>
    <font>
      <sz val="10"/>
      <color theme="1"/>
      <name val="Tahoma"/>
      <family val="2"/>
    </font>
    <font>
      <b/>
      <sz val="10"/>
      <color rgb="FF000000"/>
      <name val="Tahoma"/>
      <family val="2"/>
    </font>
    <font>
      <sz val="10"/>
      <color rgb="FF000000"/>
      <name val="Tahoma"/>
      <family val="2"/>
    </font>
    <font>
      <u/>
      <sz val="10"/>
      <color theme="10"/>
      <name val="Tahoma"/>
      <family val="2"/>
    </font>
    <font>
      <sz val="14"/>
      <color theme="1"/>
      <name val="Calibri"/>
      <family val="2"/>
      <scheme val="minor"/>
    </font>
    <font>
      <b/>
      <sz val="11"/>
      <color rgb="FFFF0000"/>
      <name val="Calibri Light"/>
      <family val="2"/>
      <scheme val="major"/>
    </font>
  </fonts>
  <fills count="8">
    <fill>
      <patternFill patternType="none"/>
    </fill>
    <fill>
      <patternFill patternType="gray125"/>
    </fill>
    <fill>
      <patternFill patternType="solid">
        <fgColor indexed="54"/>
      </patternFill>
    </fill>
    <fill>
      <patternFill patternType="solid">
        <fgColor rgb="FF7575A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8" tint="0.59999389629810485"/>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8"/>
      </left>
      <right/>
      <top style="thin">
        <color indexed="8"/>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42">
    <xf numFmtId="0" fontId="0" fillId="0" borderId="0" xfId="0"/>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6" fontId="7" fillId="5" borderId="1" xfId="0" applyNumberFormat="1" applyFont="1" applyFill="1" applyBorder="1" applyAlignment="1">
      <alignment horizontal="right" vertical="center"/>
    </xf>
    <xf numFmtId="6" fontId="7" fillId="0" borderId="1" xfId="0" applyNumberFormat="1" applyFont="1" applyBorder="1" applyAlignment="1">
      <alignment horizontal="right" vertical="center"/>
    </xf>
    <xf numFmtId="165" fontId="7" fillId="0" borderId="1" xfId="0" applyNumberFormat="1" applyFont="1" applyBorder="1" applyAlignment="1">
      <alignment horizontal="right" vertical="center"/>
    </xf>
    <xf numFmtId="166" fontId="7" fillId="6" borderId="1" xfId="0" applyNumberFormat="1" applyFont="1" applyFill="1" applyBorder="1" applyAlignment="1">
      <alignment horizontal="right" vertical="center"/>
    </xf>
    <xf numFmtId="10" fontId="7" fillId="0" borderId="1" xfId="1" applyNumberFormat="1" applyFont="1" applyFill="1" applyBorder="1" applyAlignment="1">
      <alignment horizontal="right" vertical="center"/>
    </xf>
    <xf numFmtId="14" fontId="8" fillId="0" borderId="1" xfId="0" applyNumberFormat="1" applyFont="1" applyBorder="1" applyAlignment="1">
      <alignment horizontal="center" vertical="center" wrapText="1"/>
    </xf>
    <xf numFmtId="14" fontId="8" fillId="7"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xf>
    <xf numFmtId="0" fontId="9" fillId="7" borderId="1" xfId="3"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0" borderId="3" xfId="0" applyFont="1" applyBorder="1" applyAlignment="1">
      <alignment horizontal="center" vertical="center" wrapText="1"/>
    </xf>
    <xf numFmtId="1" fontId="7" fillId="0" borderId="1" xfId="0" applyNumberFormat="1" applyFont="1" applyBorder="1" applyAlignment="1">
      <alignment horizontal="right" vertical="center" wrapText="1"/>
    </xf>
    <xf numFmtId="1" fontId="7" fillId="0" borderId="3" xfId="0" applyNumberFormat="1" applyFont="1" applyBorder="1" applyAlignment="1">
      <alignment horizontal="center" vertical="center"/>
    </xf>
    <xf numFmtId="0" fontId="8" fillId="7" borderId="3" xfId="0" applyFont="1" applyFill="1" applyBorder="1" applyAlignment="1">
      <alignment horizontal="right" vertical="center" wrapText="1"/>
    </xf>
    <xf numFmtId="0" fontId="8" fillId="7" borderId="3" xfId="0" applyFont="1" applyFill="1" applyBorder="1" applyAlignment="1">
      <alignment horizontal="center" vertical="center" wrapText="1"/>
    </xf>
    <xf numFmtId="0" fontId="8" fillId="7" borderId="1" xfId="0" applyFont="1" applyFill="1" applyBorder="1" applyAlignment="1">
      <alignment horizontal="center" vertical="center" wrapText="1"/>
    </xf>
    <xf numFmtId="1" fontId="7" fillId="0" borderId="4" xfId="0" applyNumberFormat="1" applyFont="1" applyBorder="1" applyAlignment="1">
      <alignment horizontal="center" vertical="center"/>
    </xf>
    <xf numFmtId="0" fontId="0" fillId="0" borderId="4" xfId="0" applyBorder="1" applyAlignment="1">
      <alignment horizontal="center" vertical="center" wrapText="1"/>
    </xf>
    <xf numFmtId="0" fontId="0" fillId="0" borderId="0" xfId="0" applyAlignment="1">
      <alignment horizontal="center" vertical="center" wrapText="1"/>
    </xf>
    <xf numFmtId="0" fontId="2" fillId="7" borderId="1" xfId="2" applyFill="1" applyBorder="1" applyAlignment="1">
      <alignment horizontal="center" vertical="center" wrapText="1"/>
    </xf>
    <xf numFmtId="3" fontId="8" fillId="7" borderId="3" xfId="0" applyNumberFormat="1" applyFont="1" applyFill="1" applyBorder="1" applyAlignment="1">
      <alignment horizontal="right" vertical="center" wrapText="1"/>
    </xf>
    <xf numFmtId="167" fontId="7" fillId="5" borderId="1" xfId="0" applyNumberFormat="1" applyFont="1" applyFill="1" applyBorder="1" applyAlignment="1">
      <alignment horizontal="right" vertical="center"/>
    </xf>
    <xf numFmtId="49" fontId="8" fillId="7" borderId="3" xfId="0" applyNumberFormat="1" applyFont="1" applyFill="1" applyBorder="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164" fontId="6" fillId="0" borderId="0" xfId="0" applyNumberFormat="1" applyFont="1" applyAlignment="1">
      <alignment horizontal="right" vertical="center" wrapText="1"/>
    </xf>
    <xf numFmtId="0" fontId="0" fillId="0" borderId="0" xfId="0" applyAlignment="1">
      <alignment horizontal="right" vertical="center" wrapText="1"/>
    </xf>
    <xf numFmtId="10" fontId="6" fillId="0" borderId="0" xfId="0" applyNumberFormat="1" applyFont="1" applyAlignment="1">
      <alignment horizontal="right" vertical="center" wrapText="1"/>
    </xf>
    <xf numFmtId="0" fontId="11" fillId="4" borderId="1" xfId="0" applyFont="1" applyFill="1" applyBorder="1" applyAlignment="1">
      <alignment horizontal="center" vertical="center" wrapText="1"/>
    </xf>
  </cellXfs>
  <cellStyles count="4">
    <cellStyle name="Hipervínculo" xfId="2" builtinId="8"/>
    <cellStyle name="Hyperlink" xfId="3" xr:uid="{45C3F44C-E517-4B97-AB5C-874F91EA211D}"/>
    <cellStyle name="Normal" xfId="0" builtinId="0"/>
    <cellStyle name="Porcentaje" xfId="1" builtinId="5"/>
  </cellStyles>
  <dxfs count="0"/>
  <tableStyles count="1" defaultTableStyle="TableStyleMedium2" defaultPivotStyle="PivotStyleLight16">
    <tableStyle name="Invisible" pivot="0" table="0" count="0" xr9:uid="{BA28A780-B4C0-4E3C-8E5B-071067C4995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com-my.sharepoint.com/personal/carlos_guzman_crcom_gov_co/Documents/CUADRO%20GENERAL%20DE%20NUMERACI&#211;N%20CONTRATACION%202026.xlsx" TargetMode="External"/><Relationship Id="rId1" Type="http://schemas.openxmlformats.org/officeDocument/2006/relationships/externalLinkPath" Target="https://crcom-my.sharepoint.com/personal/carlos_guzman_crcom_gov_co/Documents/CUADRO%20GENERAL%20DE%20NUMERACI&#211;N%20CONTRATACION%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estion_Administrativa\Contrataci&#243;n\NUMERACION%20CONTRATACION%202015\Numeraci&#243;n%20CONTRATOS%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Procesos"/>
      <sheetName val="Contratos"/>
      <sheetName val="Otrosí"/>
      <sheetName val="IND RAE"/>
      <sheetName val="EJECUCIÓN"/>
      <sheetName val="CONS 2026"/>
      <sheetName val="OTROS INSTRUMENTOS"/>
      <sheetName val="Actas"/>
      <sheetName val="COORD"/>
      <sheetName val="INF CONGRESO"/>
      <sheetName val="Rev. Listas CH."/>
      <sheetName val="secop"/>
      <sheetName val="Lista doc"/>
      <sheetName val="Comparativo PN 25-26"/>
      <sheetName val="Informe SECOP"/>
      <sheetName val="RP"/>
    </sheetNames>
    <sheetDataSet>
      <sheetData sheetId="0">
        <row r="1">
          <cell r="A1" t="str">
            <v>CONTRATACIÓN DIRECTA</v>
          </cell>
        </row>
        <row r="2">
          <cell r="A2" t="str">
            <v>MÍNIMA CUANTÍA</v>
          </cell>
        </row>
        <row r="3">
          <cell r="A3" t="str">
            <v>CONCURSO DE MERITOS</v>
          </cell>
        </row>
        <row r="4">
          <cell r="A4" t="str">
            <v>LICITACIÓN PÚBLICA</v>
          </cell>
        </row>
        <row r="5">
          <cell r="A5" t="str">
            <v>SELECCIÓN ABREVIADA MENOR CUANTÍA</v>
          </cell>
        </row>
        <row r="6">
          <cell r="A6" t="str">
            <v>SELECCIÓN ABREVIADA SUBASTA INVERSA</v>
          </cell>
        </row>
        <row r="7">
          <cell r="A7" t="str">
            <v>AMP/IAD</v>
          </cell>
        </row>
      </sheetData>
      <sheetData sheetId="1">
        <row r="81">
          <cell r="F81">
            <v>111014148</v>
          </cell>
        </row>
        <row r="83">
          <cell r="F83">
            <v>432964768</v>
          </cell>
        </row>
        <row r="85">
          <cell r="F85">
            <v>9987981</v>
          </cell>
        </row>
        <row r="86">
          <cell r="F86">
            <v>10731370</v>
          </cell>
        </row>
        <row r="88">
          <cell r="F88">
            <v>27033600</v>
          </cell>
        </row>
        <row r="89">
          <cell r="F89">
            <v>35763500</v>
          </cell>
        </row>
        <row r="91">
          <cell r="F91">
            <v>333764531.69999999</v>
          </cell>
        </row>
        <row r="93">
          <cell r="F93">
            <v>59400000</v>
          </cell>
        </row>
        <row r="94">
          <cell r="F94">
            <v>27450000</v>
          </cell>
        </row>
        <row r="95">
          <cell r="F95">
            <v>36000000</v>
          </cell>
        </row>
        <row r="96">
          <cell r="F96">
            <v>30000000</v>
          </cell>
        </row>
        <row r="97">
          <cell r="F97">
            <v>161297800</v>
          </cell>
        </row>
      </sheetData>
      <sheetData sheetId="2">
        <row r="2">
          <cell r="A2" t="str">
            <v>CONTRATO 01 DE 2026</v>
          </cell>
          <cell r="B2" t="str">
            <v>ERICK FRANCKS ESPEJO SILVA</v>
          </cell>
          <cell r="C2" t="str">
            <v>PN</v>
          </cell>
          <cell r="E2" t="str">
            <v>Prestación de servicios profesionales o Apoyo a la gestión</v>
          </cell>
          <cell r="F2" t="str">
            <v>Prestar servicios profesionales en realización y producción audiovisual, para apoyar la Estrategia de Comunicaciones 2026 de la CRC mediante la planeación, grabación, edición y entrega de contenidos institucionales y la cobertura de eventos, garantizando calidad técnica, coherencia con la identidad visual, accesibilidad y comunicación inclusiva, utilizando sus propios equipos y actuando con autonomía profesional.</v>
          </cell>
          <cell r="G2">
            <v>112823292</v>
          </cell>
          <cell r="I2" t="str">
            <v>RELACIONES CON GRUPOS DE VALOR</v>
          </cell>
          <cell r="J2" t="str">
            <v>MARIANA SARMIENTO</v>
          </cell>
          <cell r="O2">
            <v>46036</v>
          </cell>
          <cell r="P2">
            <v>46038</v>
          </cell>
          <cell r="Q2">
            <v>46387</v>
          </cell>
        </row>
        <row r="3">
          <cell r="A3" t="str">
            <v>CONTRATO 02 DE 2026</v>
          </cell>
          <cell r="B3" t="str">
            <v xml:space="preserve">ERIK ANDRÉS BARBOSA PARRA  </v>
          </cell>
          <cell r="C3" t="str">
            <v>PN</v>
          </cell>
          <cell r="E3" t="str">
            <v>Prestación de servicios profesionales o Apoyo a la gestión</v>
          </cell>
          <cell r="F3" t="str">
            <v>Prestación de servicios profesionales especializados en diseño gráfico y dirección de arte, para apoyar la implementación de la Estrategia de Comunicaciones 2026 de la CRC, mediante la creación de piezas gráficas estáticas y animadas, la diagramación de materiales institucionales y la ejecución de acciones de comunicación interna, externa y digital, entre otras actividades, en articulación con la Coordinación de Relaciones con Grupos de Valor.</v>
          </cell>
          <cell r="G3">
            <v>145299786</v>
          </cell>
          <cell r="I3" t="str">
            <v>RELACIONES CON GRUPOS DE VALOR</v>
          </cell>
          <cell r="J3" t="str">
            <v>MARIANA SARMIENTO</v>
          </cell>
          <cell r="O3">
            <v>46036</v>
          </cell>
          <cell r="P3">
            <v>46038</v>
          </cell>
          <cell r="Q3">
            <v>46387</v>
          </cell>
        </row>
        <row r="4">
          <cell r="A4" t="str">
            <v>CONTRATO 03 DE 2026</v>
          </cell>
          <cell r="B4" t="str">
            <v>JAVIER ENRIQUE OVALLE BURBANO</v>
          </cell>
          <cell r="C4" t="str">
            <v>PN</v>
          </cell>
          <cell r="E4" t="str">
            <v>Prestación de servicios profesionales o Apoyo a la gestión</v>
          </cell>
          <cell r="F4" t="str">
            <v>Brindar apoyo técnico especializado para analizar solicitudes de homologación y emitir conceptos técnicos de viabilidad, en cumplimiento de las directrices establecidas en el Plan de Acción 2026 de la Comisión de Regulación de Comunicaciones, orientado a la homologación de equipos terminales móviles (ETM).</v>
          </cell>
          <cell r="G4">
            <v>43103587</v>
          </cell>
          <cell r="I4" t="str">
            <v>RELACIONES CON GRUPOS DE VALOR</v>
          </cell>
          <cell r="J4" t="str">
            <v>MARIANA SARMIENTO</v>
          </cell>
          <cell r="O4">
            <v>46036</v>
          </cell>
          <cell r="P4">
            <v>46038</v>
          </cell>
          <cell r="Q4">
            <v>46387</v>
          </cell>
        </row>
        <row r="5">
          <cell r="A5" t="str">
            <v>CONTRATO 04 DE 2026</v>
          </cell>
          <cell r="B5" t="str">
            <v>JUAN CAMILO PEÑA VERGARA</v>
          </cell>
          <cell r="C5" t="str">
            <v>PN</v>
          </cell>
          <cell r="E5" t="str">
            <v>Prestación de servicios profesionales o Apoyo a la gestión</v>
          </cell>
          <cell r="F5" t="str">
            <v>Prestar apoyo profesional especializado en la implementación, ejecución, seguimiento y optimización de la Estrategia de Comunicaciones 2026, mediante la gestión integral de redes sociales y demás canales digitales institucionales, la planificación y producción de contenidos creativos, accesibles y estratégicos, el monitoreo y análisis de indicadores de desempeño digital y la interacción con los diferentes grupos de valor, garantizando la coherencia con los principios de lenguaje claro, comunicación inclusiva, transparencia, participación ciudadana e identidad institucional definidos por la CRC.</v>
          </cell>
          <cell r="G5">
            <v>132809947</v>
          </cell>
          <cell r="I5" t="str">
            <v>RELACIONES CON GRUPOS DE VALOR</v>
          </cell>
          <cell r="J5" t="str">
            <v>MARIANA SARMIENTO</v>
          </cell>
          <cell r="O5">
            <v>46036</v>
          </cell>
          <cell r="P5">
            <v>46038</v>
          </cell>
          <cell r="Q5">
            <v>46387</v>
          </cell>
        </row>
        <row r="6">
          <cell r="A6" t="str">
            <v>CONTRATO 05 DE 2026</v>
          </cell>
          <cell r="B6" t="str">
            <v>JUAN MANUEL VELASCO CEPEDA</v>
          </cell>
          <cell r="C6" t="str">
            <v>PN</v>
          </cell>
          <cell r="E6" t="str">
            <v>Prestación de servicios profesionales o Apoyo a la gestión</v>
          </cell>
          <cell r="F6" t="str">
            <v>Prestar los servicios profesionales para la administración, actualización y gestión técnica y de contenidos del portal web institucional y demás canales digitales de la Comisión de Regulación de Comunicaciones (CRC), en cumplimiento de la Estrategia de Comunicaciones 2026 y de los lineamientos de accesibilidad, transparencia y gobierno digital.</v>
          </cell>
          <cell r="G6">
            <v>128314988</v>
          </cell>
          <cell r="I6" t="str">
            <v>RELACIONES CON GRUPOS DE VALOR</v>
          </cell>
          <cell r="J6" t="str">
            <v>MARIANA SARMIENTO</v>
          </cell>
          <cell r="O6">
            <v>46036</v>
          </cell>
          <cell r="P6">
            <v>46038</v>
          </cell>
          <cell r="Q6">
            <v>46387</v>
          </cell>
        </row>
        <row r="7">
          <cell r="A7" t="str">
            <v>CONTRATO 06 DE 2026</v>
          </cell>
          <cell r="B7" t="str">
            <v>SERGIO ANDRÉS BOHÓRQUEZ PERDOMO</v>
          </cell>
          <cell r="C7" t="str">
            <v>PN</v>
          </cell>
          <cell r="E7" t="str">
            <v>Prestación de servicios profesionales o Apoyo a la gestión</v>
          </cell>
          <cell r="F7" t="str">
            <v>Prestación de servicios profesionales orientados a brindar soporte técnico para el análisis de solicitudes y apoyar la planeación, atribución, asignación, recuperación, administración y gestión de los recursos de identificación a cargo de la Comisión de Regulación de Comunicaciones (CRC), en cumplimiento de las directrices establecidas en el Plan de Acción 2026.</v>
          </cell>
          <cell r="G7">
            <v>50222800</v>
          </cell>
          <cell r="I7" t="str">
            <v>RELACIONES CON GRUPOS DE VALOR</v>
          </cell>
          <cell r="J7" t="str">
            <v>MARIANA SARMIENTO</v>
          </cell>
          <cell r="O7">
            <v>46036</v>
          </cell>
          <cell r="P7">
            <v>46038</v>
          </cell>
          <cell r="Q7">
            <v>46387</v>
          </cell>
        </row>
        <row r="8">
          <cell r="A8" t="str">
            <v>CONTRATO 07 DE 2026</v>
          </cell>
          <cell r="B8" t="str">
            <v>DIEGO ALEJANDRO DURÁN ESPITIA</v>
          </cell>
          <cell r="C8" t="str">
            <v>PN</v>
          </cell>
          <cell r="E8" t="str">
            <v>Prestación de servicios profesionales o Apoyo a la gestión</v>
          </cell>
          <cell r="F8" t="str">
            <v>Prestar apoyo profesional a la Coordinación de Relaciones con Grupos de Valor, orientado al fortalecimiento de la Estrategia de Servicio al Ciudadano, la racionalización de trámites y la mejora continua en la atención y satisfacción de los grupos de valor de la Comisión de Regulación de Comunicaciones –CRC–. Para ello, desarrollará actividades relacionadas con el seguimiento y gestión de solicitudes, consultas y trámites, el monitoreo de la operación del Centro de Contacto, la elaboración de planes de emisión de espacios institucionales, en concordancia con los procedimientos y lineamientos vigentes.</v>
          </cell>
          <cell r="G8">
            <v>70575592</v>
          </cell>
          <cell r="I8" t="str">
            <v>RELACIONES CON GRUPOS DE VALOR</v>
          </cell>
          <cell r="J8" t="str">
            <v>MARIANA SARMIENTO</v>
          </cell>
          <cell r="O8">
            <v>46036</v>
          </cell>
          <cell r="P8">
            <v>46038</v>
          </cell>
          <cell r="Q8">
            <v>46387</v>
          </cell>
        </row>
        <row r="9">
          <cell r="A9" t="str">
            <v>CONTRATO 08 DE 2026</v>
          </cell>
          <cell r="B9" t="str">
            <v>JULIÁN DAVID ZULUAGA TORRES</v>
          </cell>
          <cell r="C9" t="str">
            <v>PN</v>
          </cell>
          <cell r="E9" t="str">
            <v>Prestación de servicios profesionales o Apoyo a la gestión</v>
          </cell>
          <cell r="F9" t="str">
            <v>Prestar servicios profesionales especializados a la Comisión de Regulación de Comunicaciones (CRC) para la consolidación, fortalecimiento y gestión integral de la estrategia de cooperación nacional e internacional y de alianzas estratégicas, mediante la identificación, formulación, seguimiento y evaluación de iniciativas y proyectos de cooperación técnica, así como el acompañamiento en la gestión de relaciones institucionales y la preparación de información técnica que contribuya al posicionamiento de la CRC como referente regulatorio a nivel nacional e internacional.</v>
          </cell>
          <cell r="G9">
            <v>165830000</v>
          </cell>
          <cell r="I9" t="str">
            <v>RELACIONES CON GRUPOS DE VALOR</v>
          </cell>
          <cell r="J9" t="str">
            <v>MARIANA SARMIENTO</v>
          </cell>
          <cell r="O9">
            <v>46036</v>
          </cell>
          <cell r="P9">
            <v>46038</v>
          </cell>
          <cell r="Q9">
            <v>46387</v>
          </cell>
        </row>
        <row r="10">
          <cell r="A10" t="str">
            <v>CONTRATO 09 DE 2026</v>
          </cell>
          <cell r="B10" t="str">
            <v>KAREM JULIETH MOLINA SANTANA</v>
          </cell>
          <cell r="C10" t="str">
            <v>PN</v>
          </cell>
          <cell r="E10" t="str">
            <v>Prestación de servicios profesionales o Apoyo a la gestión</v>
          </cell>
          <cell r="F10" t="str">
            <v>Prestar apoyo técnico a la Coordinación de Gestión Administrativa y Financiera en el desarrollo de actividades operativas y administrativas, incluyendo la atención en la recepción institucional, la canalización de correspondencia y el soporte en procesos internos de Gestión Ambiental, bienes y servicios, ejecutadas de manera autónoma, sin subordinación ni vínculo laboral con la entidad</v>
          </cell>
          <cell r="G10">
            <v>44132375</v>
          </cell>
          <cell r="I10" t="str">
            <v>GESTIÓN ADM. Y FIN</v>
          </cell>
          <cell r="J10" t="str">
            <v>DIANA WILCHES</v>
          </cell>
          <cell r="O10">
            <v>46030</v>
          </cell>
          <cell r="P10">
            <v>46036</v>
          </cell>
          <cell r="Q10">
            <v>46387</v>
          </cell>
        </row>
        <row r="11">
          <cell r="A11" t="str">
            <v>CONTRATO 10 DE 2026</v>
          </cell>
          <cell r="B11" t="str">
            <v>CAROLINA GONZALEZ</v>
          </cell>
          <cell r="C11" t="str">
            <v>PN</v>
          </cell>
          <cell r="E11" t="str">
            <v>Prestación de servicios profesionales o Apoyo a la gestión</v>
          </cell>
          <cell r="F11" t="str">
            <v>Prestar apoyo técnico a la Coordinación de Gestión Administrativa y Financiera en el desarrollo de actividades operativas y administrativas, incluyendo la atención en la recepción institucional, la canalización de correspondencia y el soporte en procesos internos de Talento Humano. ejecutadas de manera autónoma, sin subordinación ni vínculo laboral con la entidad.</v>
          </cell>
          <cell r="G11">
            <v>44132375</v>
          </cell>
          <cell r="I11" t="str">
            <v>GESTIÓN ADM. Y FIN</v>
          </cell>
          <cell r="J11" t="str">
            <v>DIANA WILCHES</v>
          </cell>
          <cell r="O11">
            <v>46030</v>
          </cell>
          <cell r="P11">
            <v>46035</v>
          </cell>
          <cell r="Q11">
            <v>46387</v>
          </cell>
        </row>
        <row r="12">
          <cell r="A12" t="str">
            <v>CONTRATO 11 DE 2026</v>
          </cell>
          <cell r="C12" t="str">
            <v>PN</v>
          </cell>
          <cell r="E12" t="str">
            <v>Prestación de servicios profesionales o Apoyo a la gestión</v>
          </cell>
          <cell r="F12" t="str">
            <v>Prestar apoyo a la Coordinación de Gestión Administrativa y Financiera en la ejecución eficiente de actividades operativas y logísticas relacionadas con el proceso de Gestión Documental de la CRC, con el propósito de fortalecer el cumplimiento oportuno de las funciones asignadas y atender otras necesidades que surjan en el marco de la Gestión documental de la entidad.</v>
          </cell>
          <cell r="G12">
            <v>43501912.5</v>
          </cell>
          <cell r="I12" t="str">
            <v>GESTIÓN ADM. Y FIN</v>
          </cell>
          <cell r="J12" t="str">
            <v>DIANA WILCHES</v>
          </cell>
          <cell r="O12">
            <v>46036</v>
          </cell>
          <cell r="P12">
            <v>46038</v>
          </cell>
          <cell r="Q12">
            <v>46387</v>
          </cell>
        </row>
        <row r="13">
          <cell r="A13" t="str">
            <v>CONTRATO 12 DE 2026</v>
          </cell>
          <cell r="B13" t="str">
            <v>NICOLAS MATEO GOMEZ BUSTAMANTE</v>
          </cell>
          <cell r="C13" t="str">
            <v>PN</v>
          </cell>
          <cell r="E13" t="str">
            <v>Prestación de servicios profesionales o Apoyo a la gestión</v>
          </cell>
          <cell r="F13" t="str">
            <v>Prestar servicios profesionales para apoyar y asesorar las acciones relacionadas con la Gestión Ambiental de la CRC, incluyendo actividades de medición, seguimiento y evaluación de indicadores ambientales, así como acompañamiento en la actualización, implementación y gestión de la Política Ambiental y los Objetivos Ambientales institucionales, en coherencia con los planes, programas y metas definidos por la entidad para el año 2026</v>
          </cell>
          <cell r="G13">
            <v>62778500</v>
          </cell>
          <cell r="I13" t="str">
            <v>GESTIÓN ADM. Y FIN</v>
          </cell>
          <cell r="J13" t="str">
            <v>DIANA WILCHES</v>
          </cell>
          <cell r="O13">
            <v>46037</v>
          </cell>
          <cell r="P13">
            <v>46042</v>
          </cell>
          <cell r="Q13">
            <v>46387</v>
          </cell>
        </row>
        <row r="14">
          <cell r="A14" t="str">
            <v>CONTRATO 13 DE 2026</v>
          </cell>
          <cell r="C14" t="str">
            <v>PN</v>
          </cell>
          <cell r="E14" t="str">
            <v>Prestación de servicios profesionales o Apoyo a la gestión</v>
          </cell>
          <cell r="F14" t="str">
            <v xml:space="preserve">Prestar servicios profesionales especializados en derecho tributario para apoyar y acompañar a la Comisión de Regulación de Comunicaciones (CRC) en el desarrollo de las actividades relacionadas con la Contribución a su favor, conforme a lo dispuesto en el artículo 24 de la Ley 1341 de 2009 y sus modificaciones. Estas actividades incluyen, entre otras, la atención de procesos de discusión administrativa, la aplicación del régimen sancionatorio, el adelanto de actuaciones de cobro coactivo y el seguimiento o respuesta a demandas judiciales derivadas de este concepto, durante la vigencia 2026. El servicio no incluye la representación judicial ni administrativa de la Entidad. </v>
          </cell>
          <cell r="G14">
            <v>250674470</v>
          </cell>
          <cell r="I14" t="str">
            <v>GESTIÓN ADM. Y FIN</v>
          </cell>
          <cell r="J14" t="str">
            <v>DIANA WILCHES</v>
          </cell>
          <cell r="O14">
            <v>46036</v>
          </cell>
          <cell r="P14">
            <v>46038</v>
          </cell>
          <cell r="Q14">
            <v>46387</v>
          </cell>
        </row>
        <row r="15">
          <cell r="A15" t="str">
            <v>CONTRATO 14 DE 2026</v>
          </cell>
          <cell r="C15" t="str">
            <v>PN</v>
          </cell>
          <cell r="E15" t="str">
            <v>Prestación de servicios profesionales o Apoyo a la gestión</v>
          </cell>
          <cell r="F15" t="str">
            <v xml:space="preserve">Prestar servicios profesionales para el diseño, ejecución y evaluación de estrategias orientadas al fortalecimiento del pluralismo informativo y la alfabetización mediática, mediante el desarrollo de metodologías de observación y análisis de contenidos, la ejecución de proyectos regulatorios y estrategias pedagógicas innovadoras que promuevan el consumo responsable de información y la comprensión del entorno comunicativo convergente, en el marco de los proyectos contemplados dentro de la Agenda Regulatoria y el Plan de Acción 2026. </v>
          </cell>
          <cell r="G15">
            <v>136132700</v>
          </cell>
          <cell r="I15" t="str">
            <v>PEDAGOGÍA REGULATORIA</v>
          </cell>
          <cell r="J15" t="str">
            <v>RICARDO RAMÍREZ</v>
          </cell>
          <cell r="O15">
            <v>46036</v>
          </cell>
          <cell r="P15">
            <v>46038</v>
          </cell>
          <cell r="Q15">
            <v>46387</v>
          </cell>
        </row>
        <row r="16">
          <cell r="A16" t="str">
            <v>CONTRATO 15 DE 2026</v>
          </cell>
          <cell r="B16" t="str">
            <v>MÓNICA MEJÍA / CEDIDO A LADY TORREZ</v>
          </cell>
          <cell r="C16" t="str">
            <v>PN</v>
          </cell>
          <cell r="E16" t="str">
            <v>Prestación de servicios profesionales o Apoyo a la gestión</v>
          </cell>
          <cell r="F16" t="str">
            <v xml:space="preserve">prestar servicios profesionales con plena autonomía técnica y administrativa para apoyar al Grupo Interno de Trabajo de Control Interno de la CRC en la planeación, ejecución y seguimiento del Plan Anual de Auditoría 2026, con enfoque basado en riesgos, incluyendo la elaboración de informes de ley, la realización de auditorías internas y el seguimiento y evaluación de planes de mejoramiento, en cumplimiento de la normativa vigente y en articulación con los objetivos estratégicos y el Sistema de Control Interno de la Entidad. </v>
          </cell>
          <cell r="G16">
            <v>74750000</v>
          </cell>
          <cell r="I16" t="str">
            <v>CONTROL INTERNO</v>
          </cell>
          <cell r="J16" t="str">
            <v>MARTHA VALENZUELA</v>
          </cell>
          <cell r="O16">
            <v>46036</v>
          </cell>
          <cell r="P16">
            <v>46038</v>
          </cell>
          <cell r="Q16">
            <v>46387</v>
          </cell>
        </row>
        <row r="17">
          <cell r="A17" t="str">
            <v>CONTRATO 16 DE 2026</v>
          </cell>
          <cell r="B17" t="str">
            <v>SOPORTE LÓGICO -HUMANO</v>
          </cell>
          <cell r="C17" t="str">
            <v>PJ</v>
          </cell>
          <cell r="E17" t="str">
            <v>Contratación directa</v>
          </cell>
          <cell r="F17" t="str">
            <v xml:space="preserve">Renovación del contrato de servicios, mantenimiento, soporte y bolsa de horas para el sistema de nómina y gestión del recurso humano – “humano” de la CRC. </v>
          </cell>
          <cell r="G17">
            <v>68532299</v>
          </cell>
          <cell r="I17" t="str">
            <v>GESTIÓN ADM. Y FIN</v>
          </cell>
          <cell r="J17" t="str">
            <v>DIANA WILCHES</v>
          </cell>
          <cell r="O17">
            <v>46037</v>
          </cell>
          <cell r="P17">
            <v>46038</v>
          </cell>
          <cell r="Q17">
            <v>46387</v>
          </cell>
        </row>
        <row r="18">
          <cell r="A18" t="str">
            <v>CONTRATO 17 DE 2026</v>
          </cell>
          <cell r="C18" t="str">
            <v>PN</v>
          </cell>
          <cell r="E18" t="str">
            <v>Prestación de servicios profesionales o Apoyo a la gestión</v>
          </cell>
          <cell r="F18" t="str">
            <v>Prestar servicios de interpretación en Lengua de Señas Colombiana durante el año 2026, los cuales incluirán la traducción de contenidos audiovisuales institucionales, la interpretación en espacios y actividades comunicacionales, así como en eventos oficiales organizados por la Comisión de Regulación de Comunicaciones (CRC). El contratista trabajará de manera articulada con la Coordinación de Relaciones con Grupos de Valor, dependencia encargada de liderar la estrategia de comunicaciones de la entidad durante la vigencia 2026</v>
          </cell>
          <cell r="G18">
            <v>42274496</v>
          </cell>
          <cell r="I18" t="str">
            <v>RELACIONES CON GRUPOS DE VALOR</v>
          </cell>
          <cell r="J18" t="str">
            <v>MARIANA SARMIENTO</v>
          </cell>
          <cell r="O18">
            <v>46037</v>
          </cell>
          <cell r="P18">
            <v>46050</v>
          </cell>
          <cell r="Q18">
            <v>46387</v>
          </cell>
        </row>
        <row r="19">
          <cell r="A19" t="str">
            <v>CONTRATO 18 DE 2026</v>
          </cell>
          <cell r="B19" t="str">
            <v>JHON RICHARD SÁNCHEZ CASTIBLANCO</v>
          </cell>
          <cell r="C19" t="str">
            <v>PN</v>
          </cell>
          <cell r="E19" t="str">
            <v>Prestación de servicios profesionales o Apoyo a la gestión</v>
          </cell>
          <cell r="F19" t="str">
            <v>Prestación de servicios profesionales para brindar apoyo en el desarrollo de actividades asociadas al consumo crítico de contenidos audiovisuales, la generación de entornos audiovisuales seguros, la protección de los derechos de la niñez y la familia en los contenidos audiovisuales, y la prevención de la desinformación, mediante la formulación y ejecución de proyectos regulatorios, de estrategias de difusión y pedagogía regulatoria orientadas al sector y a la ciudadanía, en el marco de los acciones contemplados dentro de la Agenda Regulatoria y el Plan de Acción 2026.</v>
          </cell>
          <cell r="G19">
            <v>161177100</v>
          </cell>
          <cell r="I19" t="str">
            <v>PEDAGOGÍA REGULATORIA</v>
          </cell>
          <cell r="J19" t="str">
            <v>RICARDO RAMÍREZ</v>
          </cell>
          <cell r="O19">
            <v>46036</v>
          </cell>
          <cell r="P19">
            <v>46038</v>
          </cell>
          <cell r="Q19">
            <v>46387</v>
          </cell>
        </row>
        <row r="20">
          <cell r="A20" t="str">
            <v>CONTRATO 19 DE 2026</v>
          </cell>
          <cell r="B20" t="str">
            <v>JULIO CÉSAR MENDOZA GARCÍA</v>
          </cell>
          <cell r="C20" t="str">
            <v>PN</v>
          </cell>
          <cell r="E20" t="str">
            <v>Prestación de servicios profesionales o Apoyo a la gestión</v>
          </cell>
          <cell r="F20" t="str">
            <v>Prestación de servicios profesionales para brindar apoyo en el desarrollo de actividades de promoción del pluralismo informativo, la protección de los derechos de las audiencias, la integridad de la información y la alfabetización mediática informacional, a través la participación y el impulso de iniciativas de cooperación técnica, y la formulación y ejecución de proyectos regulatorios y no regulatorios contemplados dentro de la Agenda Regulatoria y el Plan de Acción 2026.</v>
          </cell>
          <cell r="G20">
            <v>161177100</v>
          </cell>
          <cell r="I20" t="str">
            <v>PEDAGOGÍA REGULATORIA</v>
          </cell>
          <cell r="J20" t="str">
            <v>RICARDO RAMÍREZ</v>
          </cell>
          <cell r="O20">
            <v>46036</v>
          </cell>
          <cell r="P20">
            <v>46038</v>
          </cell>
          <cell r="Q20">
            <v>46387</v>
          </cell>
        </row>
        <row r="21">
          <cell r="A21" t="str">
            <v>CONTRATO 20 DE 2026</v>
          </cell>
          <cell r="B21" t="str">
            <v xml:space="preserve">ESTRATEGIAS Y ASESORÍAS REGULATORIAS S.A.S. </v>
          </cell>
          <cell r="C21" t="str">
            <v>PJ</v>
          </cell>
          <cell r="E21" t="str">
            <v>Contratación directa</v>
          </cell>
          <cell r="F21" t="str">
            <v>Prestar servicios de asesoría estratégica, jurídica y regulatoria para fortalecer la gestión institucional de la CRC en asuntos de relacionamiento y seguimiento misional, mediante un acompañamiento jurídico especializado que apoye a la Coordinación de Relaciones con Grupos de Valor en el monitoreo, análisis y gestión de iniciativas legislativas en el Congreso que impactan las competencias de la Entidad en los sectores de comunicaciones, postal y contenidos audiovisuales.</v>
          </cell>
          <cell r="G21">
            <v>218866593</v>
          </cell>
          <cell r="I21" t="str">
            <v>RELACIONES CON GRUPOS DE VALOR</v>
          </cell>
          <cell r="J21" t="str">
            <v>MARIANA SARMIENTO</v>
          </cell>
          <cell r="O21">
            <v>46036</v>
          </cell>
          <cell r="P21">
            <v>46041</v>
          </cell>
          <cell r="Q21">
            <v>46374</v>
          </cell>
        </row>
        <row r="22">
          <cell r="A22" t="str">
            <v>CONTRATO 21 DE 2026</v>
          </cell>
          <cell r="C22" t="str">
            <v>PN</v>
          </cell>
          <cell r="E22" t="str">
            <v>Prestación de servicios profesionales o Apoyo a la gestión</v>
          </cell>
          <cell r="F22" t="str">
            <v>Prestación de servicios profesionales especializados para apoyar en el diseño, implementación y fortalecimiento de la política y la estrategia de gestión de conocimiento e innovación en el marco del Modelo Integrado de Planeación y Gestión (MIPG); la formulación y acompañamiento de procesos de innovación institucional y experimental, incluyendo la articulación con instituciones de educación superior y centros de investigación para el desarrollo de proyectos colaborativos y de investigación aplicada, en concordancia con la Agenda Regulatoria y el Plan de Acción de la CRC para el año 2026</v>
          </cell>
          <cell r="G22">
            <v>158829605</v>
          </cell>
          <cell r="I22" t="str">
            <v>PROSPECTIVA ESTR. E INN / PEDAGOGÍA REGULATORIA</v>
          </cell>
          <cell r="J22" t="str">
            <v>VICTOR BALDRICH / RICARDO RAMÍREZ</v>
          </cell>
          <cell r="O22">
            <v>46037</v>
          </cell>
          <cell r="P22">
            <v>46038</v>
          </cell>
          <cell r="Q22">
            <v>46387</v>
          </cell>
        </row>
        <row r="23">
          <cell r="A23" t="str">
            <v>CONTRATO 22 DE 2026</v>
          </cell>
          <cell r="C23" t="str">
            <v>PN</v>
          </cell>
          <cell r="E23" t="str">
            <v>Prestación de servicios profesionales o Apoyo a la gestión</v>
          </cell>
          <cell r="F23" t="str">
            <v>Contratar la prestación de servicios profesionales especializados en derecho, con el fin de brindar apoyo jurídico integral a la CRC en el desarrollo de sus funciones misionales, particularmente aquellas asignadas a las Sesiones de Comisión de Comunicaciones y de Contenidos Audiovisuales</v>
          </cell>
          <cell r="G23">
            <v>243079000</v>
          </cell>
          <cell r="I23" t="str">
            <v>GESTIÓN JURÍDICA</v>
          </cell>
          <cell r="J23" t="str">
            <v>VICTOR SANDOVAL</v>
          </cell>
          <cell r="O23">
            <v>46037</v>
          </cell>
          <cell r="P23">
            <v>46042</v>
          </cell>
          <cell r="Q23">
            <v>46387</v>
          </cell>
        </row>
        <row r="24">
          <cell r="A24" t="str">
            <v>CONTRATO 23 DE 2026</v>
          </cell>
          <cell r="C24" t="str">
            <v>PN</v>
          </cell>
          <cell r="E24" t="str">
            <v>Prestación de servicios profesionales o Apoyo a la gestión</v>
          </cell>
          <cell r="F24" t="str">
            <v>Prestación de servicios profesionales en materia de diseño e implementación de la política y la estrategia de gestión del conocimiento y la innovación alineada con MIPG, diseño y desarrollo de estrategias de pedagogía regulatoria y definición de acciones para adelantar actividades de investigación aplicada, de acuerdo con el Plan de Acción institucional para la vigencia 2026</v>
          </cell>
          <cell r="G24">
            <v>59225000</v>
          </cell>
          <cell r="I24" t="str">
            <v>PROSPECTIVA ESTRATÉGICA</v>
          </cell>
          <cell r="J24" t="str">
            <v>VICTOR BALDRICH</v>
          </cell>
          <cell r="O24">
            <v>46038</v>
          </cell>
          <cell r="P24">
            <v>46038</v>
          </cell>
          <cell r="Q24">
            <v>46387</v>
          </cell>
        </row>
        <row r="25">
          <cell r="A25" t="str">
            <v>CONTRATO 24 DE 2026</v>
          </cell>
          <cell r="C25" t="str">
            <v>PN</v>
          </cell>
          <cell r="E25" t="str">
            <v>Prestación de servicios profesionales o Apoyo a la gestión</v>
          </cell>
          <cell r="F25" t="str">
            <v>prestación de servicios profesionales para brindar apoyo jurídico en el desarrollo de actividades misionales de la CRC, principalmente las asociadas a la revisión del marco regulatorio sobre el pluralismo y la imparcialidad informativos, la reglamentación de la Ley 2489 de 2025,  la implementación de acciones de inspección, vigilancia y control de contenidos y la protección de los derechos de los televidentes, en el marco de los proyectos contemplados en la Agenda Regulatoria y el Plan de Acción 2026.</v>
          </cell>
          <cell r="G25">
            <v>138112700</v>
          </cell>
          <cell r="I25" t="str">
            <v>GESTIÓN JURÍDICA / PEDAGOGÍA REGULATORIA</v>
          </cell>
          <cell r="J25" t="str">
            <v>VICTOR SANDOVAL /RICARDO RAMÍREZ</v>
          </cell>
          <cell r="O25">
            <v>46036</v>
          </cell>
          <cell r="P25">
            <v>46038</v>
          </cell>
          <cell r="Q25">
            <v>46387</v>
          </cell>
        </row>
        <row r="26">
          <cell r="A26" t="str">
            <v>CONTRATO 25 DE 2026</v>
          </cell>
          <cell r="C26" t="str">
            <v>PN</v>
          </cell>
          <cell r="E26" t="str">
            <v>Prestación de servicios profesionales o Apoyo a la gestión</v>
          </cell>
          <cell r="G26">
            <v>193794500</v>
          </cell>
          <cell r="I26" t="str">
            <v>GESTIÓN JURÍDICA</v>
          </cell>
          <cell r="J26" t="str">
            <v>VICTOR SANDOVAL</v>
          </cell>
          <cell r="O26">
            <v>46038</v>
          </cell>
          <cell r="P26">
            <v>46045</v>
          </cell>
          <cell r="Q26">
            <v>46387</v>
          </cell>
        </row>
        <row r="27">
          <cell r="A27" t="str">
            <v>CONTRATO 26 DE 2026</v>
          </cell>
          <cell r="B27" t="str">
            <v>TACHYON  CONSULTORES SAS</v>
          </cell>
          <cell r="C27" t="str">
            <v>PJ</v>
          </cell>
          <cell r="E27" t="str">
            <v>Prestación de servicios profesionales o Apoyo a la gestión</v>
          </cell>
          <cell r="F27" t="str">
            <v>Prestación de servicios profesionales altamente especializados en ingeniería para apoyar técnicamente el desarrollo y análisis de los proyectos regulatorios de la Comisión de Regulación de Comunicaciones en el marco del Plan de Acción 2026 y la Agenda Regulatoria 2026-2027. Este apoyo incluirá actividades técnicas en materia de acceso e interconexión, dimensionamiento y estimación de tráfico, análisis de calidad de los servicios fijos y móviles, evaluación de infraestructura y capacidad de red, estudio del impacto del tráfico de plataformas OTT, análisis de eficiencia espectral, remuneración y cargos de acceso, así como la elaboración de insumos técnicos que soporten decisiones regulatorias</v>
          </cell>
          <cell r="G27">
            <v>488766000</v>
          </cell>
          <cell r="I27" t="str">
            <v>DISEÑO REGULATORIO / GESTIÓN JURÍDICA</v>
          </cell>
          <cell r="J27" t="str">
            <v>ALEJANDRA ARENAS / VICTOR SANDOVAL</v>
          </cell>
          <cell r="O27">
            <v>46041</v>
          </cell>
          <cell r="P27">
            <v>46048</v>
          </cell>
          <cell r="Q27">
            <v>46387</v>
          </cell>
        </row>
        <row r="28">
          <cell r="A28" t="str">
            <v>CONTRATO 27 DE 2026</v>
          </cell>
          <cell r="B28" t="str">
            <v>JAIRO MONTEALEGRE</v>
          </cell>
          <cell r="C28" t="str">
            <v>PN</v>
          </cell>
          <cell r="E28" t="str">
            <v>Prestación de servicios profesionales o Apoyo a la gestión</v>
          </cell>
          <cell r="F28"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ell>
          <cell r="G28">
            <v>157074000</v>
          </cell>
          <cell r="I28" t="str">
            <v>TECNOLOGÍAS Y SIST. DE INF.</v>
          </cell>
          <cell r="J28" t="str">
            <v>INGRID PICÓN</v>
          </cell>
          <cell r="O28">
            <v>46037</v>
          </cell>
          <cell r="P28">
            <v>46038</v>
          </cell>
          <cell r="Q28">
            <v>46387</v>
          </cell>
        </row>
        <row r="29">
          <cell r="A29" t="str">
            <v>CONTRATO 28 DE 2026</v>
          </cell>
          <cell r="B29" t="str">
            <v>WILMER ALEJANDRO OSORIO</v>
          </cell>
          <cell r="C29" t="str">
            <v>PN</v>
          </cell>
          <cell r="E29" t="str">
            <v>Prestación de servicios profesionales o Apoyo a la gestión</v>
          </cell>
          <cell r="F29"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ell>
          <cell r="G29">
            <v>157074000</v>
          </cell>
          <cell r="I29" t="str">
            <v>TECNOLOGÍAS Y SIST. DE INF.</v>
          </cell>
          <cell r="J29" t="str">
            <v>INGRID PICÓN</v>
          </cell>
          <cell r="O29">
            <v>46037</v>
          </cell>
          <cell r="P29">
            <v>46038</v>
          </cell>
          <cell r="Q29">
            <v>46387</v>
          </cell>
        </row>
        <row r="30">
          <cell r="A30" t="str">
            <v>CONTRATO 29 DE 2026</v>
          </cell>
          <cell r="B30" t="str">
            <v xml:space="preserve">OMAR DUARTE </v>
          </cell>
          <cell r="C30" t="str">
            <v>PN</v>
          </cell>
          <cell r="E30" t="str">
            <v>Prestación de servicios profesionales o Apoyo a la gestión</v>
          </cell>
          <cell r="F30"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ell>
          <cell r="G30">
            <v>157074000</v>
          </cell>
          <cell r="I30" t="str">
            <v>TECNOLOGÍAS Y SIST. DE INF.</v>
          </cell>
          <cell r="J30" t="str">
            <v>INGRID PICÓN</v>
          </cell>
          <cell r="O30">
            <v>46037</v>
          </cell>
          <cell r="P30">
            <v>46038</v>
          </cell>
          <cell r="Q30">
            <v>46387</v>
          </cell>
        </row>
        <row r="31">
          <cell r="A31" t="str">
            <v>CONTRATO 30 DE 2026</v>
          </cell>
          <cell r="B31" t="str">
            <v xml:space="preserve">JOHAN RINCON </v>
          </cell>
          <cell r="C31" t="str">
            <v>PN</v>
          </cell>
          <cell r="E31" t="str">
            <v>Prestación de servicios profesionales o Apoyo a la gestión</v>
          </cell>
          <cell r="F31"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ell>
          <cell r="G31">
            <v>157074000</v>
          </cell>
          <cell r="I31" t="str">
            <v>TECNOLOGÍAS Y SIST. DE INF.</v>
          </cell>
          <cell r="J31" t="str">
            <v>INGRID PICÓN</v>
          </cell>
          <cell r="O31">
            <v>46037</v>
          </cell>
          <cell r="P31">
            <v>46038</v>
          </cell>
          <cell r="Q31">
            <v>46387</v>
          </cell>
        </row>
        <row r="32">
          <cell r="A32" t="str">
            <v>CONTRATO 31 DE 2026</v>
          </cell>
          <cell r="B32" t="str">
            <v>CULLEN INTERNATIONAL</v>
          </cell>
          <cell r="C32" t="str">
            <v>PJ</v>
          </cell>
          <cell r="E32" t="str">
            <v>Contratación directa</v>
          </cell>
          <cell r="F32" t="str">
            <v xml:space="preserve">Contratar la suscripción a la plataforma MY CULLEN de CULLEN INTERNATIONAL S.A. para el monitoreo de tendencias y desarrollos regulatorios a nivel internacional en materia de servicios de telecomunicaciones, postales y contenidos audiovisuales. </v>
          </cell>
          <cell r="G32">
            <v>615230000</v>
          </cell>
          <cell r="I32" t="str">
            <v>ANALÍTICA DE DATOS</v>
          </cell>
          <cell r="J32" t="str">
            <v>MIGUEL DURÁN</v>
          </cell>
          <cell r="O32">
            <v>46042</v>
          </cell>
          <cell r="P32">
            <v>46055</v>
          </cell>
          <cell r="Q32">
            <v>46439</v>
          </cell>
        </row>
        <row r="33">
          <cell r="A33" t="str">
            <v>CONTRATO 32 DE 2026</v>
          </cell>
          <cell r="B33" t="str">
            <v>LUIS CARLOS URRUITA</v>
          </cell>
          <cell r="C33" t="str">
            <v>PN</v>
          </cell>
          <cell r="E33" t="str">
            <v>Prestación de servicios profesionales o Apoyo a la gestión</v>
          </cell>
          <cell r="F33" t="str">
            <v>Prestar servicios profesionales para brindar apoyo en el diseño, ejecución y evaluación de estrategias orientadas al fortalecimiento de entornos audiovisuales seguros, la generación y difusión de herramientas de alfabetización mediática e informacional, el trabajo y articulación con operadores del servicio de televisión y el pluralismo informativo, en el marco de los proyectos contemplados dentro de la Agenda Regulatoria y el Plan de Acción 2026.</v>
          </cell>
          <cell r="G33">
            <v>159999500</v>
          </cell>
          <cell r="I33" t="str">
            <v>PEDAGOGÍA REGULATORIA</v>
          </cell>
          <cell r="J33" t="str">
            <v>RICARDO RAMÍREZ</v>
          </cell>
          <cell r="O33">
            <v>46036</v>
          </cell>
          <cell r="P33">
            <v>46038</v>
          </cell>
          <cell r="Q33">
            <v>46387</v>
          </cell>
        </row>
        <row r="34">
          <cell r="A34" t="str">
            <v>CONTRATO 33 DE 2026</v>
          </cell>
          <cell r="B34" t="str">
            <v>ROBERTO BALTRA CONSULTORÍAS E.I.R.L.</v>
          </cell>
          <cell r="C34" t="str">
            <v>PJ</v>
          </cell>
          <cell r="E34" t="str">
            <v>Prestación de servicios profesionales o Apoyo a la gestión</v>
          </cell>
          <cell r="F34" t="str">
            <v>Prestación de servicios profesionales altamente especializados en materia de economía y regulación de mercados de telecomunicaciones para apoyar y acompañar a la CRC en el desarrollo de actividades técnicas, económicas y regulatorias relacionadas con la construcción y análisis de modelos de costos convergentes para redes fijas y móviles; la elaboración de estudios y ejercicios de costeo requeridos en el proyecto «Regulación para el aprovechamiento y compartición de infraestructura de otros sectores para el despliegue de redes de comunicaciones»; el análisis económico y de costos asociado a iniciativas de conectividad mayorista local, incluyendo redes municipales neutrales de fibra óptica; y el acompañamiento técnico especializado en la discusión sectorial de los proyectos «Esquemas de remuneración móvil» y «Evaluación de costos para la reconexión de servicios de telecomunicaciones», previsto en la Agenda Regulatoria 2026–2027, garantizando continuidad metodológica con el modelo de empresa eficiente móvil desarrollado en la vigencia 2025, así como la generación de insumos económicos y regulatorios que permitan sustentar las decisiones de la Comisión.</v>
          </cell>
          <cell r="G34">
            <v>410000000</v>
          </cell>
          <cell r="I34" t="str">
            <v>DISEÑO REGULATORIO</v>
          </cell>
          <cell r="J34" t="str">
            <v>ALEJANDRA ARENAS</v>
          </cell>
          <cell r="O34">
            <v>46036</v>
          </cell>
          <cell r="P34">
            <v>46037</v>
          </cell>
          <cell r="Q34">
            <v>46387</v>
          </cell>
        </row>
        <row r="35">
          <cell r="A35" t="str">
            <v>CONTRATO 34 DE 2026</v>
          </cell>
          <cell r="B35" t="str">
            <v>AVANCE JURIDICO CASA EDITORIAL</v>
          </cell>
          <cell r="C35" t="str">
            <v>PJ</v>
          </cell>
          <cell r="E35" t="str">
            <v>Contratación directa</v>
          </cell>
          <cell r="F35" t="str">
            <v>Actualización permanente de la Resolución CRC 5050 de 2016 en relación con los conceptos, línea decisional, doctrina concordante, circulares y notas de vigencia, así como la compilación y actualización de las normas complementarias que son transversales a todas las entidades públicas, integrado en el Normograma de la CRC.</v>
          </cell>
          <cell r="G35">
            <v>157206840</v>
          </cell>
          <cell r="I35" t="str">
            <v>COORDINACIÓN EJECUTIVA</v>
          </cell>
          <cell r="J35" t="str">
            <v>LUZ MIREYA GARZÓN</v>
          </cell>
          <cell r="O35">
            <v>46037</v>
          </cell>
          <cell r="P35">
            <v>46038</v>
          </cell>
          <cell r="Q35">
            <v>46387</v>
          </cell>
        </row>
        <row r="36">
          <cell r="A36" t="str">
            <v>CONTRATO 35 DE 2026</v>
          </cell>
          <cell r="C36" t="str">
            <v>PN</v>
          </cell>
          <cell r="E36" t="str">
            <v>Prestación de servicios profesionales o Apoyo a la gestión</v>
          </cell>
          <cell r="F36" t="str">
            <v>Prestación de servicios profesionales altamente especializados en materia de economía y análisis cuantitativo, orientados a brindar soporte especializado en la formulación y ejecución de proyectos regulatorios, así como en otras actividades desarrolladas por la Comisión de Regulación de Comunicaciones (CRC) en el marco de su Plan de Acción para 2026 y la Agenda Regulatoria 2026-2027</v>
          </cell>
          <cell r="G36">
            <v>243362400</v>
          </cell>
          <cell r="I36" t="str">
            <v>DISEÑO REGULATORIO / ANALÍTICA DE DATOS</v>
          </cell>
          <cell r="J36" t="str">
            <v>ALEJANDRA ARENAS</v>
          </cell>
          <cell r="O36">
            <v>46042</v>
          </cell>
          <cell r="P36">
            <v>46044</v>
          </cell>
          <cell r="Q36">
            <v>46387</v>
          </cell>
        </row>
        <row r="37">
          <cell r="A37" t="str">
            <v>CONTRATO 36 DE 2026</v>
          </cell>
          <cell r="B37" t="str">
            <v>JUAN CARLOS NIÑO</v>
          </cell>
          <cell r="C37" t="str">
            <v>PN</v>
          </cell>
          <cell r="E37" t="str">
            <v>Prestación de servicios profesionales o Apoyo a la gestión</v>
          </cell>
          <cell r="F37" t="str">
            <v>Prestacion de servicios profesionales especializados en las áreas del conocimiento de contabilidad y auditoría, integrando actividades de análisis y revisión de información financiera de los agentes regulados por la CRC, así como la aplicación e interpretación de las Normas Internacionales de la Información Financiera (NIIF), con el fin de respaldar y fortalecer el desarrollo de proyectos regulatorios y otras actividades misionales de la Entidad, incluido el observatorio de inversión en telecomunicaciones, de acuerdo con lo previsto en la Agenda Regulatoria 2026–2027 y el Plan de Acción de la CRC para el año 2026.</v>
          </cell>
          <cell r="G37">
            <v>154992000</v>
          </cell>
          <cell r="I37" t="str">
            <v>DISEÑO REGULATORIO / ANALÍTICA DE DATOS</v>
          </cell>
          <cell r="J37" t="str">
            <v>MIGUEL DURÁN</v>
          </cell>
          <cell r="O37">
            <v>46037</v>
          </cell>
          <cell r="P37">
            <v>46041</v>
          </cell>
          <cell r="Q37">
            <v>46387</v>
          </cell>
        </row>
        <row r="38">
          <cell r="A38" t="str">
            <v>CONTRATO 37 DE 2026</v>
          </cell>
          <cell r="B38" t="str">
            <v>JUAN DAVID BOTERO</v>
          </cell>
          <cell r="C38" t="str">
            <v>PN</v>
          </cell>
          <cell r="E38" t="str">
            <v>Prestación de servicios profesionales o Apoyo a la gestión</v>
          </cell>
          <cell r="F38" t="str">
            <v>prestar servicios profesionales especializados en urbanismo, planificación territorial y diseño arquitectónico para brindar asistencia técnica a la CRC en el análisis, revisión y formulación de insumos que permitan identificar y gestionar condiciones urbanísticas que incidan en el despliegue de infraestructura de telecomunicaciones del país. El servicio incluirá la elaboración de conceptos técnicos asociados a la actualización del Reglamento Técnico para Redes Internas de Telecomunicaciones (RITEL), expedido mediante la Resolución CRC 7930 de 2025, así como el soporte en temas arquitectónicos y urbanísticos que resulten pertinentes conforme a la Agenda Regulatoria 2026–2027 y al Plan de Acción de la CRC para el año 2026</v>
          </cell>
          <cell r="G38">
            <v>112943604</v>
          </cell>
          <cell r="I38" t="str">
            <v>GESTIÓN JURÍDICA</v>
          </cell>
          <cell r="J38" t="str">
            <v>VICTOR SANDOVAL</v>
          </cell>
          <cell r="O38">
            <v>46037</v>
          </cell>
          <cell r="P38">
            <v>46042</v>
          </cell>
          <cell r="Q38">
            <v>46387</v>
          </cell>
        </row>
        <row r="39">
          <cell r="A39" t="str">
            <v>CONTRATO 38 DE 2026</v>
          </cell>
          <cell r="B39" t="str">
            <v xml:space="preserve">JUAN NICOLAS AYALA RODRIGUEZ  </v>
          </cell>
          <cell r="C39" t="str">
            <v>PN</v>
          </cell>
          <cell r="E39" t="str">
            <v>Prestación de servicios profesionales o Apoyo a la gestión</v>
          </cell>
          <cell r="F39" t="str">
            <v>Prestar los servicios profesionales especializados para apoyar la implementación y gestión del modelo de seguridad y privacidad de la información de la Comisión de Regulación de Comunicaciones – CRC, mediante la operación y consolidación del Sistema de Gestión de Seguridad y Privacidad de la Información (SGSPI); así como, ejercer el acompañamiento que se requiera en el proceso de liderazgo para la ejecución y fortalecimiento del Sistema de Gestión de Continuidad del Negocio – SGCN, de acuerdo con el alcance definido para la vigencia 2026.</v>
          </cell>
          <cell r="G39">
            <v>172500000</v>
          </cell>
          <cell r="I39" t="str">
            <v>PLANEACIÓN Y GESTIÓN / TECNOLOGÍAS Y SIST. DE INF.</v>
          </cell>
          <cell r="J39" t="str">
            <v>SANDRA VILLABONA / INGRID PICÓN</v>
          </cell>
          <cell r="O39">
            <v>46037</v>
          </cell>
          <cell r="P39">
            <v>46038</v>
          </cell>
          <cell r="Q39">
            <v>46387</v>
          </cell>
        </row>
        <row r="40">
          <cell r="A40" t="str">
            <v>CONTRATO 39 DE 2026</v>
          </cell>
          <cell r="B40" t="str">
            <v>COMPENSAR</v>
          </cell>
          <cell r="C40" t="str">
            <v>PJ</v>
          </cell>
          <cell r="E40" t="str">
            <v>Prestación de servicios profesionales o Apoyo a la gestión</v>
          </cell>
          <cell r="F40" t="str">
            <v xml:space="preserve">Prestación de servicios de apoyo a la gestión en el desarrollo de acciones para el fortalecimiento de la gestión estratégica del talento humano en la CRC, encaminadas a la ejecución de actividades relacionadas con el cumplimiento de los planes y programas correspondientes a las políticas de la dimensión de talento humano del modelo integrado de planeación y gestión - MIPG en la comisión de regulación de comunicaciones (bienestar social, capacitación, SST, actividades culturales, deportivas, recreativas y formativas, entre otros). </v>
          </cell>
          <cell r="G40">
            <v>420343000</v>
          </cell>
          <cell r="I40" t="str">
            <v>GESTIÓN ADM. Y FIN</v>
          </cell>
          <cell r="J40" t="str">
            <v>DIANA WILCHES</v>
          </cell>
          <cell r="O40">
            <v>46048</v>
          </cell>
          <cell r="P40">
            <v>46052</v>
          </cell>
          <cell r="Q40">
            <v>46377</v>
          </cell>
        </row>
        <row r="41">
          <cell r="A41" t="str">
            <v>CONTRATO 40 DE 2026</v>
          </cell>
          <cell r="B41" t="str">
            <v xml:space="preserve">KANTAR IBOPE MEDIA </v>
          </cell>
          <cell r="C41" t="str">
            <v>PJ</v>
          </cell>
          <cell r="E41" t="str">
            <v>Contratación directa</v>
          </cell>
          <cell r="F41" t="str">
            <v xml:space="preserve">Adquirir la información exclusiva de Kantar Ibope Media Colombia S.A.S. de medición de audiencias con la tecnología People Meters para los servicios de televisión abierta, que posibilite realizar una medición de audiencias respecto del consumo de televisión y de información de pauta publicitaria de bebidas alcohólicas, para los meses de enero a noviembre de 2026.
</v>
          </cell>
          <cell r="G41">
            <v>157080000</v>
          </cell>
          <cell r="I41" t="str">
            <v>ANALÍTICA DE DATOS</v>
          </cell>
          <cell r="J41" t="str">
            <v>MIGUEL DURÁN</v>
          </cell>
          <cell r="O41">
            <v>46043</v>
          </cell>
          <cell r="P41">
            <v>46049</v>
          </cell>
          <cell r="Q41">
            <v>46387</v>
          </cell>
        </row>
        <row r="42">
          <cell r="A42" t="str">
            <v>CONTRATO 41 DE 2026</v>
          </cell>
          <cell r="C42" t="str">
            <v>PN</v>
          </cell>
          <cell r="E42" t="str">
            <v>Prestación de servicios profesionales o Apoyo a la gestión</v>
          </cell>
          <cell r="F42" t="str">
            <v>Prestación de servicios profesionales altamente especializados para el análisis regulatorio y económico de mercados de telecomunicaciones y ecosistemas digitales, con énfasis en neutralidad de red, conectividad mayorista, esquemas de remuneración móvil, servicios OTT y nuevas tecnologías de acceso de última milla, para apoyar la estructuración y desarrollo de los proyectos y estudios de las coordinaciones de Diseño Regulatorio y Prospectiva Estratégica e Innovación, conforme a lo previsto en el plan de acción de la CRC en la vigencia y la Agenda Regulatoria 2026-2027.</v>
          </cell>
          <cell r="G42">
            <v>146729314</v>
          </cell>
          <cell r="I42" t="str">
            <v>DISEÑO REGULATORIO</v>
          </cell>
          <cell r="J42" t="str">
            <v>ALEJANDRA ARENAS</v>
          </cell>
          <cell r="O42">
            <v>46045</v>
          </cell>
          <cell r="P42">
            <v>46045</v>
          </cell>
          <cell r="Q42">
            <v>46387</v>
          </cell>
        </row>
        <row r="43">
          <cell r="A43" t="str">
            <v>CONTRATO 42 DE 2026</v>
          </cell>
          <cell r="B43" t="str">
            <v>LUISA TÉLLEZ</v>
          </cell>
          <cell r="C43" t="str">
            <v>PN</v>
          </cell>
          <cell r="E43" t="str">
            <v>Prestación de servicios profesionales o Apoyo a la gestión</v>
          </cell>
          <cell r="F43" t="str">
            <v xml:space="preserve">Prestar servicios profesionales para apoyar las estrategias de pedagogía regulatoria y de alfabetización mediática 2026 de la CRC, mediante la conceptualización, producción y entrega de piezas y contenidos gráficos y audiovisuales con fines educativos y de difusión, garantizando calidad técnica, coherencia con la identidad visual, accesibilidad y comunicación inclusiva, utilizando sus propios equipos y actuando con autonomía profesional. </v>
          </cell>
          <cell r="G43">
            <v>70575500</v>
          </cell>
          <cell r="I43" t="str">
            <v>PEDAGOGÍA REGULATORIA</v>
          </cell>
          <cell r="J43" t="str">
            <v>RICARDO RAMÍREZ</v>
          </cell>
          <cell r="O43">
            <v>46036</v>
          </cell>
          <cell r="P43">
            <v>46038</v>
          </cell>
          <cell r="Q43">
            <v>46387</v>
          </cell>
        </row>
        <row r="44">
          <cell r="A44" t="str">
            <v>CONTRATO 43 DE 2026</v>
          </cell>
          <cell r="B44" t="str">
            <v>DUQUE BOTERO CONSULTORES</v>
          </cell>
          <cell r="C44" t="str">
            <v>PJ</v>
          </cell>
          <cell r="E44" t="str">
            <v>Prestación de servicios profesionales o Apoyo a la gestión</v>
          </cell>
          <cell r="F44" t="str">
            <v>Prestar servicios profesionales en derecho, con énfasis en derecho administrativo y contratación estatal, para ofrecer apoyo jurídico especializado a la CRC mediante la elaboración de conceptos, análisis normativos y acompañamiento jurídico en los procesos precontractuales, contractuales y postcontractuales que adelante la Entidad. El servicio incluirá la revisión de asuntos jurídicos complejos y la formulación de recomendaciones que contribuyan a la adecuada gestión contractual y regulatoria en el marco del Plan de Acción Institucional y de las actividades que la Entidad programe para la vigencia 2026.</v>
          </cell>
          <cell r="G44">
            <v>40232830</v>
          </cell>
          <cell r="I44" t="str">
            <v>COORDINACIÓN EJECUTIVA</v>
          </cell>
          <cell r="J44" t="str">
            <v>MARGARITA GIL</v>
          </cell>
          <cell r="O44">
            <v>46036</v>
          </cell>
          <cell r="P44">
            <v>46037</v>
          </cell>
          <cell r="Q44">
            <v>46387</v>
          </cell>
        </row>
        <row r="45">
          <cell r="A45" t="str">
            <v>CONTRATO 44 DE 2026</v>
          </cell>
          <cell r="B45" t="str">
            <v>PEDRO JOSE LEAL MESA</v>
          </cell>
          <cell r="C45" t="str">
            <v>PN</v>
          </cell>
          <cell r="E45" t="str">
            <v>Prestación de servicios profesionales o Apoyo a la gestión</v>
          </cell>
          <cell r="F45" t="str">
            <v xml:space="preserve">
Prestación de servicios profesionales para apoyar el desarrollo y optimización de herramientas de analítica y visualización de datos, de acuerdo con lo previsto en la Agenda Regulatoria 2026-2027 y el Plan de Acción de la CRC para el año 2026.
</v>
          </cell>
          <cell r="G45">
            <v>66294096</v>
          </cell>
          <cell r="I45" t="str">
            <v>ANALÍTICA DE DATOS</v>
          </cell>
          <cell r="J45" t="str">
            <v>MIGUEL DURÁN</v>
          </cell>
          <cell r="O45">
            <v>46037</v>
          </cell>
          <cell r="P45">
            <v>46038</v>
          </cell>
          <cell r="Q45">
            <v>46387</v>
          </cell>
        </row>
        <row r="46">
          <cell r="A46" t="str">
            <v>CONTRATO 45 DE 2026</v>
          </cell>
          <cell r="C46" t="str">
            <v>PN</v>
          </cell>
          <cell r="E46" t="str">
            <v>Prestación de servicios profesionales o Apoyo a la gestión</v>
          </cell>
          <cell r="F46" t="str">
            <v>Prestar servicios profesionales altamente especializados en el área del derecho de las telecomunicaciones, la regulación económica y el derecho de la competencia, tendiente a apoyar a la Comisión de Regulación de Comunicaciones (CRC) en el análisis, desarrollo y fortalecimiento de sus estrategias jurídicas y regulatorias. El objetivo es contribuir eficazmente a la prevención del daño antijurídico, desde la expedición de actos administrativos complejos hasta la defensa de estos en estrados judiciales</v>
          </cell>
          <cell r="G46">
            <v>487143000</v>
          </cell>
          <cell r="I46" t="str">
            <v>DISEÑO REGULATORIO / GESTIÓN JURÍDICA</v>
          </cell>
          <cell r="J46" t="str">
            <v>VICTOR SANDOVAL</v>
          </cell>
          <cell r="O46">
            <v>46037</v>
          </cell>
          <cell r="P46">
            <v>46043</v>
          </cell>
          <cell r="Q46">
            <v>46387</v>
          </cell>
        </row>
        <row r="47">
          <cell r="A47" t="str">
            <v>CONTRATO 46 DE 2026</v>
          </cell>
          <cell r="C47" t="str">
            <v>PN</v>
          </cell>
          <cell r="E47" t="str">
            <v>Prestación de servicios profesionales o Apoyo a la gestión</v>
          </cell>
          <cell r="F47" t="str">
            <v>Contratar servicios profesionales especializados en el ámbito del derecho público, orientados a la prestación de apoyo jurídico estratégico a la Comisión de Regulación de Comunicaciones – CRC en la atención, análisis y gestión de asuntos jurídicos de alta complejidad en materia de derecho administrativo, derecho administrativo laboral, régimen sancionatorio y disciplinario. El servicio comprenderá la elaboración de análisis jurídicos, la formulación de estrategias de defensa y el acompañamiento técnico-jurídico en los procesos judiciales y actuaciones administrativas en los que intervenga la Entidad, de conformidad con sus competencias y necesidades institucionales</v>
          </cell>
          <cell r="G47">
            <v>200299995</v>
          </cell>
          <cell r="I47" t="str">
            <v>GESTIÓN JURÍDICA</v>
          </cell>
          <cell r="J47" t="str">
            <v>VICTOR SANDOVAL</v>
          </cell>
          <cell r="O47">
            <v>46036</v>
          </cell>
          <cell r="P47">
            <v>46041</v>
          </cell>
          <cell r="Q47">
            <v>46387</v>
          </cell>
        </row>
        <row r="48">
          <cell r="A48" t="str">
            <v>CONTRATO 47 DE 2026</v>
          </cell>
          <cell r="B48" t="str">
            <v>MARCELLO CORREA</v>
          </cell>
          <cell r="C48" t="str">
            <v>PN</v>
          </cell>
          <cell r="E48" t="str">
            <v>Prestación de servicios profesionales o Apoyo a la gestión</v>
          </cell>
          <cell r="F48" t="str">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ell>
          <cell r="G48">
            <v>40000000</v>
          </cell>
          <cell r="I48" t="str">
            <v>PEDAGOGÍA REGULATORIA</v>
          </cell>
          <cell r="J48" t="str">
            <v>RICARDO RAMÍREZ</v>
          </cell>
          <cell r="O48">
            <v>46042</v>
          </cell>
          <cell r="P48">
            <v>46048</v>
          </cell>
          <cell r="Q48">
            <v>46351</v>
          </cell>
        </row>
        <row r="49">
          <cell r="A49" t="str">
            <v>CONTRATO 48 DE 2026</v>
          </cell>
          <cell r="B49" t="str">
            <v>DANIEL FEDERICO CLAVIJO DUEÑAS</v>
          </cell>
          <cell r="C49" t="str">
            <v>PN</v>
          </cell>
          <cell r="E49" t="str">
            <v>Prestación de servicios profesionales o Apoyo a la gestión</v>
          </cell>
          <cell r="F49" t="str">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ell>
          <cell r="G49">
            <v>40000000</v>
          </cell>
          <cell r="I49" t="str">
            <v>PEDAGOGÍA REGULATORIA</v>
          </cell>
          <cell r="J49" t="str">
            <v>RICARDO RAMÍREZ</v>
          </cell>
          <cell r="O49">
            <v>46041</v>
          </cell>
          <cell r="P49">
            <v>46048</v>
          </cell>
          <cell r="Q49">
            <v>46351</v>
          </cell>
        </row>
        <row r="50">
          <cell r="A50" t="str">
            <v>CONTRATO 49 DE 2026</v>
          </cell>
          <cell r="B50" t="str">
            <v>DARLY DÍAZ LATORRE</v>
          </cell>
          <cell r="C50" t="str">
            <v>PN</v>
          </cell>
          <cell r="E50" t="str">
            <v>Prestación de servicios profesionales o Apoyo a la gestión</v>
          </cell>
          <cell r="F50" t="str">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ell>
          <cell r="G50">
            <v>40000000</v>
          </cell>
          <cell r="I50" t="str">
            <v>PEDAGOGÍA REGULATORIA</v>
          </cell>
          <cell r="J50" t="str">
            <v>RICARDO RAMÍREZ</v>
          </cell>
          <cell r="O50">
            <v>46041</v>
          </cell>
          <cell r="P50">
            <v>46048</v>
          </cell>
          <cell r="Q50">
            <v>46352</v>
          </cell>
        </row>
        <row r="51">
          <cell r="A51" t="str">
            <v>CONTRATO 50 DE 2026</v>
          </cell>
          <cell r="B51" t="str">
            <v>FABIO ARIAS</v>
          </cell>
          <cell r="C51" t="str">
            <v>PN</v>
          </cell>
          <cell r="E51" t="str">
            <v>Prestación de servicios profesionales o Apoyo a la gestión</v>
          </cell>
          <cell r="F51"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relacionados con la automatización y gestión de los Datos relacionados con los servicios de telecomunicaciones, postales y de contenidos audiovisuales.</v>
          </cell>
          <cell r="G51">
            <v>150244670</v>
          </cell>
          <cell r="I51" t="str">
            <v>TECNOLOGÍAS Y SIST. DE INF.</v>
          </cell>
          <cell r="J51" t="str">
            <v>INGRID PICÓN</v>
          </cell>
          <cell r="O51">
            <v>46042</v>
          </cell>
          <cell r="P51">
            <v>46055</v>
          </cell>
          <cell r="Q51">
            <v>46387</v>
          </cell>
        </row>
        <row r="52">
          <cell r="A52" t="str">
            <v>CONTRATO 51 DE 2026</v>
          </cell>
          <cell r="B52" t="str">
            <v>VICTORIA CLAVIJO</v>
          </cell>
          <cell r="C52" t="str">
            <v>PN</v>
          </cell>
          <cell r="E52" t="str">
            <v>Prestación de servicios profesionales o Apoyo a la gestión</v>
          </cell>
          <cell r="F52" t="str">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2026 relacionados con la automatización y gestión de los Datos relacionados con los servicios de telecomunicaciones, postales y de contenidos audiovisuales.</v>
          </cell>
          <cell r="G52">
            <v>150244670</v>
          </cell>
          <cell r="I52" t="str">
            <v>TECNOLOGÍAS Y SIST. DE INF.</v>
          </cell>
          <cell r="J52" t="str">
            <v>INGRID PICÓN</v>
          </cell>
          <cell r="O52">
            <v>46043</v>
          </cell>
          <cell r="P52">
            <v>46055</v>
          </cell>
          <cell r="Q52">
            <v>46387</v>
          </cell>
        </row>
        <row r="53">
          <cell r="A53" t="str">
            <v>CONTRATO 52 DE 2026</v>
          </cell>
          <cell r="B53" t="str">
            <v>CATALINA BOTERO</v>
          </cell>
          <cell r="C53" t="str">
            <v>PN</v>
          </cell>
          <cell r="E53" t="str">
            <v>Prestación de servicios profesionales o Apoyo a la gestión</v>
          </cell>
          <cell r="F53" t="str">
            <v> Contratar servicios profesionales altamente especializados en el ámbito del derecho constitucional, orientados a la prestación de apoyo jurídico estratégico a la Comisión de Regulación de Comunicaciones – CRC en la atención, análisis y gestión de asuntos jurídicos de alta complejidad en materia de derecho constitucional, en particular los relacionados con las competencias de la CRC en materia de pluralismo e imparcialidad informativos y la protección de derechos de niños, niñas y adolescentes en los contenidos. El servicio comprenderá la elaboración de análisis jurídicos, el acompañamiento técnico-jurídico en los procesos regulatorios requeridos y la asesoría en actuaciones administrativas que adelante la Entidad en las materias objeto del contrato, de conformidad con sus competencias y necesidades institucionales.</v>
          </cell>
          <cell r="G53">
            <v>120000000</v>
          </cell>
          <cell r="I53" t="str">
            <v>GESTIÓN JURÍDICA / PEDAGOGÍA REGULATORIA</v>
          </cell>
          <cell r="J53" t="str">
            <v>VICTOR SANDOVAL /RICARDO RAMÍREZ</v>
          </cell>
          <cell r="O53">
            <v>46043</v>
          </cell>
          <cell r="P53">
            <v>46048</v>
          </cell>
          <cell r="Q53">
            <v>46387</v>
          </cell>
        </row>
        <row r="54">
          <cell r="A54" t="str">
            <v>CONTRATO 53 DE 2026</v>
          </cell>
          <cell r="B54" t="str">
            <v>HANSON GARZÓN</v>
          </cell>
          <cell r="C54" t="str">
            <v>PN</v>
          </cell>
          <cell r="E54" t="str">
            <v>Prestación de servicios profesionales o Apoyo a la gestión</v>
          </cell>
          <cell r="F54" t="str">
            <v xml:space="preserve">Prestar los servicios profesionales especializados como Ingeniero, brindando el apoyo en la gestión y acompañamiento técnico para la ejecución de las actividades relacionadas con el análisis de requerimientos, aseguramiento de la calidad de software y gestión de pruebas especializadas tanto funcionales y no funcionales de los proyectos de desarrollo tecnológico que hacen parte del Plan Estratégico de Tecnología (PETI) 2026 relacionados con la automatización y gestión de los Datos relacionados con los servicios de telecomunicaciones, postales y de contenidos audiovisuales.
</v>
          </cell>
          <cell r="G54">
            <v>99000000</v>
          </cell>
          <cell r="I54" t="str">
            <v>TECNOLOGÍAS Y SIST. DE INF.</v>
          </cell>
          <cell r="J54" t="str">
            <v>INGRID PICÓN</v>
          </cell>
          <cell r="O54">
            <v>46042</v>
          </cell>
          <cell r="P54">
            <v>46055</v>
          </cell>
          <cell r="Q54">
            <v>46387</v>
          </cell>
        </row>
        <row r="55">
          <cell r="A55" t="str">
            <v>CONTRATO 54 DE 2026</v>
          </cell>
          <cell r="B55" t="str">
            <v>ADRIANA CAROLINA SANTISTEBAN GALAN</v>
          </cell>
          <cell r="C55" t="str">
            <v>PN</v>
          </cell>
          <cell r="E55" t="str">
            <v>Prestación de servicios profesionales o Apoyo a la gestión</v>
          </cell>
          <cell r="F55" t="str">
            <v>Prestación de servicios profesionales para brindar apoyo jurídico especializado a la CRC en el desarrollo de sus actividades misionales, orientado principalmente al análisis, sustanciación y trámite de actuaciones administrativas, en especial en materia de solución de controversias, imposición de servidumbres de acceso, uso e interconexión y actuaciones en contenidos audiovisuales, actuaciones de inspección, vigilancia y control en materia de contenidos audiovisuales, así como al acompañamiento jurídico en proyectos regulatorios que adelante la entidad en el marco de la Agenda Regulatoria 2026-2027 y el Plan de Acción Institucional, y a la elaboración de respuestas a solicitudes y conceptos jurídicos especializados, en apoyo a los Grupos Internos de Trabajo de Gestión Jurídica, Gestión Audiovisual y Pedagogía Regulatoria y Diseño Regulatorio.</v>
          </cell>
          <cell r="G55">
            <v>195500000</v>
          </cell>
          <cell r="I55" t="str">
            <v>GESTIÓN JURÍDICA</v>
          </cell>
          <cell r="J55" t="str">
            <v>VICTOR SANDOVAL</v>
          </cell>
          <cell r="O55">
            <v>46042</v>
          </cell>
          <cell r="P55">
            <v>46043</v>
          </cell>
          <cell r="Q55">
            <v>46387</v>
          </cell>
        </row>
        <row r="56">
          <cell r="A56" t="str">
            <v>CONTRATO 55 DE 2026</v>
          </cell>
          <cell r="B56" t="str">
            <v xml:space="preserve">JUAN JOSE GALEANO HERMOSA </v>
          </cell>
          <cell r="C56" t="str">
            <v>PN</v>
          </cell>
          <cell r="E56" t="str">
            <v>Prestación de servicios profesionales o Apoyo a la gestión</v>
          </cell>
          <cell r="F56" t="str">
            <v>Prestación de servicios profesionales en materia de análisis de datos, para apoyar en el desarrollo de las actividades de las Coordinaciones de Analítica de Datos y Prospectiva Estratégica e Innovación, relacionadas con la extracción, transformación, procesamiento y visualización de datos, así como la elaboración de estudios sectoriales para fortalecer el conocimiento del ecosistema digital, de acuerdo con lo previsto en la Agenda Regulatoria 2026-2027 y Plan de Acción de la CRC para el año 2026.</v>
          </cell>
          <cell r="G56">
            <v>137500000</v>
          </cell>
          <cell r="I56" t="str">
            <v>ANALÍTICA DE DATOS / INNOVACIÓN Y PROSPECTIVA</v>
          </cell>
          <cell r="J56" t="str">
            <v>VICTOR BALDRICH / MIGUEL DURÁN</v>
          </cell>
          <cell r="O56">
            <v>46049</v>
          </cell>
          <cell r="P56">
            <v>46055</v>
          </cell>
          <cell r="Q56">
            <v>46387</v>
          </cell>
        </row>
        <row r="57">
          <cell r="A57" t="str">
            <v>CONTRATO 56 DE 2026</v>
          </cell>
          <cell r="B57" t="str">
            <v xml:space="preserve">LITIGANDO PUNTO COM </v>
          </cell>
          <cell r="C57" t="str">
            <v>PJ</v>
          </cell>
          <cell r="E57" t="str">
            <v>Mínima cuantía</v>
          </cell>
          <cell r="F57" t="str">
            <v>Prestación del servicio de vigilancia y control judicial de los procesos judiciales en los cuales la CRC sea parte o tercero, y que se estén adelantando en cualquiera de los despachos judiciales ubicados en el territorio nacional.</v>
          </cell>
          <cell r="G57">
            <v>4598997</v>
          </cell>
          <cell r="I57" t="str">
            <v>GESTIÓN JURÍDICA</v>
          </cell>
          <cell r="J57" t="str">
            <v>VICTOR SANDOVAL</v>
          </cell>
          <cell r="O57">
            <v>46057</v>
          </cell>
          <cell r="P57">
            <v>46059</v>
          </cell>
          <cell r="Q57">
            <v>46371</v>
          </cell>
        </row>
        <row r="58">
          <cell r="A58" t="str">
            <v>CONTRATO 57 DE 2026</v>
          </cell>
          <cell r="B58" t="str">
            <v>NOVATOURS LTDA</v>
          </cell>
          <cell r="C58" t="str">
            <v>PJ</v>
          </cell>
          <cell r="E58" t="str">
            <v>Selección Abreviada Subasta Inversa</v>
          </cell>
          <cell r="F58" t="str">
            <v>Contratar el suministro de tiquetes aéreos nacionales e internacionales necesarios para el desarrollo de las actividades de la Comisión de Regulación de Comunicaciones (CRC), a través de una agencia de viajes.</v>
          </cell>
          <cell r="G58">
            <v>392500000</v>
          </cell>
          <cell r="I58" t="str">
            <v>RELACIONES CON GRUPOS DE VALOR</v>
          </cell>
          <cell r="J58" t="str">
            <v>YAMILE MATEUS</v>
          </cell>
          <cell r="O58">
            <v>46058</v>
          </cell>
          <cell r="P58">
            <v>46062</v>
          </cell>
          <cell r="Q58">
            <v>46387</v>
          </cell>
        </row>
        <row r="59">
          <cell r="A59" t="str">
            <v>CONTRATO 58 DE 2026</v>
          </cell>
          <cell r="B59" t="str">
            <v>ORGANIZACIÓN IGP S.A.S.</v>
          </cell>
          <cell r="C59" t="str">
            <v>PJ</v>
          </cell>
          <cell r="E59" t="str">
            <v>Mínima cuantía</v>
          </cell>
          <cell r="F59" t="str">
            <v>Contratar una persona natural o jurídica que provea la prestación de los servicios de conductor de reemplazo para la Comisión de Regulación de Comunicaciones – CRC, en los casos que la entidad lo requiera, durante el 2026.</v>
          </cell>
          <cell r="G59">
            <v>11828210.460000001</v>
          </cell>
          <cell r="I59" t="str">
            <v>GESTIÓN ADM. Y FIN</v>
          </cell>
          <cell r="J59" t="str">
            <v>DIANA WILCHES</v>
          </cell>
          <cell r="O59">
            <v>46062</v>
          </cell>
          <cell r="P59">
            <v>46064</v>
          </cell>
          <cell r="Q59">
            <v>46371</v>
          </cell>
        </row>
        <row r="60">
          <cell r="A60" t="str">
            <v>CONTRATO 59 DE 2026</v>
          </cell>
          <cell r="B60" t="str">
            <v>GRUPO EDS AUTOGAS S.A.S.</v>
          </cell>
          <cell r="C60" t="str">
            <v>PJ</v>
          </cell>
          <cell r="E60" t="str">
            <v>Mínima cuantía</v>
          </cell>
          <cell r="F60" t="str">
            <v>suministro de combustible (gasolina corriente) para los vehículos de propiedad de la Comisión de Regulación de Comunicaciones – CRC</v>
          </cell>
          <cell r="G60">
            <v>31930000</v>
          </cell>
          <cell r="I60" t="str">
            <v>GESTIÓN ADM. Y FIN</v>
          </cell>
          <cell r="J60" t="str">
            <v>DIANA WILCHES</v>
          </cell>
          <cell r="O60">
            <v>46077</v>
          </cell>
          <cell r="P60">
            <v>46083</v>
          </cell>
          <cell r="Q60">
            <v>46387</v>
          </cell>
        </row>
        <row r="61">
          <cell r="A61" t="str">
            <v>CONTRATO 60 DE 2026</v>
          </cell>
          <cell r="B61" t="str">
            <v>PORTÁTIL S.A.S.</v>
          </cell>
          <cell r="C61" t="str">
            <v>PJ</v>
          </cell>
          <cell r="E61" t="str">
            <v>Mínima cuantía</v>
          </cell>
          <cell r="F61" t="str">
            <v>Renovación de la suscripción por el término de un (1) año de una (1) licencia de la Suite de Adobe Creative Cloud Pro con contrato de licenciamiento VIP para la Comisión de Regulación de Comunicaciones.</v>
          </cell>
          <cell r="G61">
            <v>4055223.4</v>
          </cell>
          <cell r="I61" t="str">
            <v>TECNOLOGÍAS Y SIST. DE INF.</v>
          </cell>
          <cell r="J61" t="str">
            <v>EDWIN ALBERTO VARGAS</v>
          </cell>
          <cell r="O61">
            <v>46084</v>
          </cell>
          <cell r="P61">
            <v>46091</v>
          </cell>
          <cell r="Q61">
            <v>46455</v>
          </cell>
        </row>
        <row r="62">
          <cell r="A62" t="str">
            <v>CONTRATO 61 DE 2026</v>
          </cell>
          <cell r="B62" t="str">
            <v>CREAR IMAGEN SAS</v>
          </cell>
          <cell r="C62" t="str">
            <v>PJ</v>
          </cell>
          <cell r="E62" t="str">
            <v>Mínima cuantía</v>
          </cell>
          <cell r="F62" t="str">
            <v>Contratar la prestación del servicio de una plataforma tecnológica tipo SaaS, que permita a la Comisión de Regulación de Comunicaciones gestionar el envío de comunicaciones institucionales masivas a través de correo electrónico durante la vigencia 2026, incluyendo el acceso a la plataforma, soporte técnico y el almacenamiento asociado durante la ejecución del contrato.</v>
          </cell>
          <cell r="G62">
            <v>2987274</v>
          </cell>
          <cell r="I62" t="str">
            <v>RELACIONES CON GRUPOS DE VALOR</v>
          </cell>
          <cell r="J62" t="str">
            <v>ROCIO QUINCHE</v>
          </cell>
          <cell r="O62">
            <v>46084</v>
          </cell>
          <cell r="P62">
            <v>46085</v>
          </cell>
          <cell r="Q62">
            <v>46387</v>
          </cell>
        </row>
        <row r="63">
          <cell r="A63" t="str">
            <v>CONTRATO 62 DE 2026</v>
          </cell>
          <cell r="B63" t="str">
            <v>PORTÁTIL S.A.S.</v>
          </cell>
          <cell r="C63" t="str">
            <v>PJ</v>
          </cell>
          <cell r="E63" t="str">
            <v>Mínima cuantía</v>
          </cell>
          <cell r="F63" t="str">
            <v>Renovación de la suscripción por un (1) año de los servicios del software de editor de archivos PDF Adobe Acrobat PRO For Teams con contrato de licenciamiento VIP para la Comisión de Regulación de Comunicaciones.</v>
          </cell>
          <cell r="G63">
            <v>21776085</v>
          </cell>
          <cell r="I63" t="str">
            <v>TECNOLOGÍAS Y SIST. DE INF.</v>
          </cell>
          <cell r="J63" t="str">
            <v>EDWIN ALBERTO VARGAS</v>
          </cell>
          <cell r="O63">
            <v>46085</v>
          </cell>
          <cell r="P63">
            <v>46086</v>
          </cell>
          <cell r="Q63">
            <v>46450</v>
          </cell>
        </row>
        <row r="64">
          <cell r="A64" t="str">
            <v>CONTRATO 63 DE 2026</v>
          </cell>
          <cell r="B64" t="str">
            <v>BICODE S.A.S</v>
          </cell>
          <cell r="C64" t="str">
            <v>PJ</v>
          </cell>
          <cell r="E64" t="str">
            <v>Mínima cuantía</v>
          </cell>
          <cell r="F64" t="str">
            <v>Renovar los servicios de Microsoft Azure Suscripción CSP de la Comisión de Regulación de Comunicaciones, con el fin de garantizar recursos tecnológicos que permitan asegurar la disponibilidad y operación de la infraestructura actual; así como el aprovisionamiento de nuevos servicios de computación en la nube que demande el ejercicio misional e institucional de la Entidad y/o el sector de las TICs del país</v>
          </cell>
          <cell r="G64">
            <v>48829827</v>
          </cell>
          <cell r="I64" t="str">
            <v>TECNOLOGÍAS Y SIST. DE INF.</v>
          </cell>
          <cell r="J64" t="str">
            <v>EDWIN ALBERTO VARGAS</v>
          </cell>
          <cell r="O64">
            <v>46087</v>
          </cell>
          <cell r="P64">
            <v>46094</v>
          </cell>
          <cell r="Q64">
            <v>46104</v>
          </cell>
        </row>
        <row r="65">
          <cell r="A65" t="str">
            <v>CONTRATO 64 DE 2026</v>
          </cell>
          <cell r="B65" t="str">
            <v>FTL COMUNICACIONES (Mass Medios)</v>
          </cell>
          <cell r="C65" t="str">
            <v>PJ</v>
          </cell>
          <cell r="E65" t="str">
            <v>Mínima cuantía</v>
          </cell>
          <cell r="F65" t="str">
            <v xml:space="preserve">Prestar el servicio de monitoreo de noticias en medios de comunicación y redes sociales para la Comisión de Regulación de Comunicaciones, </v>
          </cell>
          <cell r="G65">
            <v>23684570</v>
          </cell>
          <cell r="I65" t="str">
            <v>RELACIONES CON GRUPOS DE VALOR</v>
          </cell>
          <cell r="J65" t="str">
            <v>ROCIO QUINCHE</v>
          </cell>
          <cell r="O65">
            <v>46087</v>
          </cell>
          <cell r="P65">
            <v>46090</v>
          </cell>
          <cell r="Q65">
            <v>46387</v>
          </cell>
        </row>
        <row r="66">
          <cell r="A66" t="str">
            <v>CONTRATO 65 DE 2026</v>
          </cell>
          <cell r="B66" t="str">
            <v>PANTOGLOT LTDA</v>
          </cell>
          <cell r="C66" t="str">
            <v>PJ</v>
          </cell>
          <cell r="E66" t="str">
            <v>Mínima cuantía</v>
          </cell>
          <cell r="F66" t="str">
            <v>Contratación de los servicios de traducción oficial escrita del idioma inglés al español del informe “Conectividad en un entorno digital en evolución: Revisión de Colombia” y de sus componentes asociados (incluidos anexos, cuadros, figuras y demás contenidos que integren el documento), elaborado por la Organización para la Cooperación y el Desarrollo Económicos (OCDE) a solicitud de la Comisión de Regulación de Comunicaciones (CRC), garantizando fidelidad terminológica, coherencia y consistencia técnica en el texto final.</v>
          </cell>
          <cell r="G66">
            <v>20496000</v>
          </cell>
          <cell r="I66" t="str">
            <v>PROSPECTIVA ESTRATÉGICA</v>
          </cell>
          <cell r="J66" t="str">
            <v>VICTOR BALDRICH</v>
          </cell>
          <cell r="O66">
            <v>46097</v>
          </cell>
          <cell r="P66">
            <v>46098</v>
          </cell>
          <cell r="Q66">
            <v>46128</v>
          </cell>
        </row>
        <row r="67">
          <cell r="A67" t="str">
            <v>CONTRATO 66 DE 2026</v>
          </cell>
          <cell r="B67" t="str">
            <v>JVALE INGENIERIA S.A.S</v>
          </cell>
          <cell r="C67" t="str">
            <v>PJ</v>
          </cell>
          <cell r="E67" t="str">
            <v>Mínima cuantía</v>
          </cell>
          <cell r="F67" t="str">
            <v>la prestación del servicio de mantenimiento preventivo y correctivo, incluido mano de obra calificada y suministro de repuestos a todo costo originales nuevos, para la transferencia eléctrica automática de propiedad de la Comisión de Regulación de Comunicaciones., de conformidad con la Invitación Pública No. 68 de 2026 y la oferta presentada por el contratista</v>
          </cell>
          <cell r="G67">
            <v>1240000</v>
          </cell>
          <cell r="I67" t="str">
            <v>GESTIÓN ADM. Y FIN</v>
          </cell>
          <cell r="J67" t="str">
            <v>LUIS JORGE GUEVARA</v>
          </cell>
          <cell r="O67">
            <v>46105</v>
          </cell>
          <cell r="P67">
            <v>46118</v>
          </cell>
          <cell r="Q67">
            <v>46147</v>
          </cell>
        </row>
        <row r="68">
          <cell r="A68" t="str">
            <v>CONTRATO 67 DE 2026 - OC 162532</v>
          </cell>
          <cell r="B68" t="str">
            <v xml:space="preserve">COMCEL S.A </v>
          </cell>
          <cell r="C68" t="str">
            <v>PJ</v>
          </cell>
          <cell r="E68" t="str">
            <v>AMP/IAD/CGS</v>
          </cell>
          <cell r="F68" t="str">
            <v>Renovar los servicios de Microsoft Azure Suscripción CSP de la Comisión de Regulación de Comunicaciones, con el fin de garantizar recursos tecnológicos que permitan asegurar la disponibilidad y operación de la infraestructura actual; así como el aprovisionamiento de nuevos servicios de computación en la nube que demande el ejercicio misional e institucional de la Entidad.</v>
          </cell>
          <cell r="G68">
            <v>1458418665.6900001</v>
          </cell>
          <cell r="I68" t="str">
            <v>TECNOLOGÍAS Y SIST. DE INF. / GESTIÓN ADM. Y FIN.</v>
          </cell>
          <cell r="J68" t="str">
            <v>EDWIN ALBERTO VARGAS</v>
          </cell>
          <cell r="O68">
            <v>46105</v>
          </cell>
          <cell r="P68">
            <v>46106</v>
          </cell>
          <cell r="Q68">
            <v>46387</v>
          </cell>
        </row>
        <row r="69">
          <cell r="A69" t="str">
            <v>CONTRATO 68 DE 2026</v>
          </cell>
          <cell r="B69" t="str">
            <v>INELMED DE COLOMBIA S.A.S</v>
          </cell>
          <cell r="C69" t="str">
            <v>PJ</v>
          </cell>
          <cell r="E69" t="str">
            <v>Mínima cuantía</v>
          </cell>
          <cell r="F69" t="str">
            <v>prestar el servicio de inspección, pruebas y mantenimiento preventivo y correctivo, con suministro de repuestos a todo costo, para el sistema de detección de incendios ubicados en la sede de la Comisión de Regulación de Comunicaciones – CRC, de acuerdo con las especificaciones técnicas descritas en el presente proceso</v>
          </cell>
          <cell r="G69">
            <v>7587000</v>
          </cell>
          <cell r="I69" t="str">
            <v>GESTIÓN ADM. Y FIN</v>
          </cell>
          <cell r="J69" t="str">
            <v>LUIS JORGE GUEVARA</v>
          </cell>
          <cell r="O69">
            <v>46126</v>
          </cell>
          <cell r="P69">
            <v>46127</v>
          </cell>
          <cell r="Q69">
            <v>46371</v>
          </cell>
        </row>
        <row r="70">
          <cell r="A70" t="str">
            <v>CONTRATO 69 DE 2026</v>
          </cell>
          <cell r="B70" t="str">
            <v>GESTION AMBIENTAL DE COLOMBIA</v>
          </cell>
          <cell r="C70" t="str">
            <v>PJ</v>
          </cell>
          <cell r="E70" t="str">
            <v>Mínima cuantía</v>
          </cell>
          <cell r="F70" t="str">
            <v>Contratar la prestación del servicio de recolección, transporte, almacenamiento, tratamiento y/o disposición final de los residuos peligrosos incluidos RAEE, generados en la Comisión de Regulación de Comunicaciones</v>
          </cell>
          <cell r="G70">
            <v>418050</v>
          </cell>
          <cell r="I70" t="str">
            <v>GESTIÓN ADM. Y FIN</v>
          </cell>
          <cell r="J70" t="str">
            <v>LUIS JORGE GUEVARA</v>
          </cell>
          <cell r="O70">
            <v>46132</v>
          </cell>
          <cell r="P70">
            <v>46133</v>
          </cell>
          <cell r="Q70">
            <v>46371</v>
          </cell>
        </row>
        <row r="71">
          <cell r="A71" t="str">
            <v>CONTRATO 70 DE 2026</v>
          </cell>
          <cell r="B71" t="str">
            <v>S.L.A. &amp; MEDIOS SAS</v>
          </cell>
          <cell r="C71" t="str">
            <v>PJ</v>
          </cell>
          <cell r="E71" t="str">
            <v>Mínima cuantía</v>
          </cell>
          <cell r="F71" t="str">
            <v>Adquirir la impresión y suministro de veinticinco (25) carnets, para la identificación de los funcionarios de planta de la Comisión de Regulación de Comunicaciones.</v>
          </cell>
          <cell r="G71">
            <v>270000</v>
          </cell>
          <cell r="I71" t="str">
            <v>GESTIÓN ADM. Y FIN</v>
          </cell>
          <cell r="J71" t="str">
            <v>CLAUDIA PALACIO</v>
          </cell>
          <cell r="O71">
            <v>46133</v>
          </cell>
          <cell r="P71">
            <v>46142</v>
          </cell>
          <cell r="Q71">
            <v>46371</v>
          </cell>
        </row>
        <row r="72">
          <cell r="A72" t="str">
            <v>CONTRATO 71 DE 2026 -  OC 163478</v>
          </cell>
          <cell r="B72" t="str">
            <v>CONSORCIO ROYAL-SOLTELCO</v>
          </cell>
          <cell r="C72" t="str">
            <v>PJ</v>
          </cell>
          <cell r="E72" t="str">
            <v>AMP/IAD/CGS</v>
          </cell>
          <cell r="F72" t="str">
            <v>Renovar y adquirir, por un (1) añolas suscripciones de productos Microsoftrequeridas por la Comisión de Regulación deComunicaciones, bajo el esquema delicenciamiento CSP, con el fin de garantizar lacontinuidad de los servicios de colaboración,productividad, analítica de datos y seguridad quesoportan las funciones de la Entidad</v>
          </cell>
          <cell r="G72">
            <v>310475316</v>
          </cell>
          <cell r="I72" t="str">
            <v>TECNOLOGÍAS Y SIST. DE INF.</v>
          </cell>
          <cell r="J72" t="str">
            <v>EDWIN ALBERTO VARGAS</v>
          </cell>
          <cell r="O72">
            <v>46129</v>
          </cell>
          <cell r="P72">
            <v>46141</v>
          </cell>
          <cell r="Q72">
            <v>46505</v>
          </cell>
        </row>
        <row r="73">
          <cell r="A73" t="str">
            <v>CONTRATO 72 DE 2026</v>
          </cell>
          <cell r="B73" t="str">
            <v>IMAGROUP SAS</v>
          </cell>
          <cell r="C73" t="str">
            <v>PJ</v>
          </cell>
          <cell r="E73" t="str">
            <v>Licitación Pública</v>
          </cell>
          <cell r="F73" t="str">
            <v>Prestación integral de servicios como operador logístico para la planeación, organización, operación y ejecución de eventos institucionales, tanto presenciales como, híbridos y virtuales, necesarios para el cumplimiento de las funciones asignadas a la Comisión de Regulación de Comunicaciones (CRC) durante el año 2026.</v>
          </cell>
          <cell r="G73">
            <v>1200000000</v>
          </cell>
          <cell r="I73" t="str">
            <v>RELACIONES CON GRUPOS DE VALOR</v>
          </cell>
          <cell r="J73" t="str">
            <v>MARIANA SARMIENTO</v>
          </cell>
          <cell r="O73">
            <v>46148</v>
          </cell>
          <cell r="P73">
            <v>46150</v>
          </cell>
          <cell r="Q73">
            <v>46374</v>
          </cell>
        </row>
        <row r="74">
          <cell r="A74" t="str">
            <v>CONTRATO 73 DE 2026</v>
          </cell>
          <cell r="B74" t="str">
            <v>BRANDSTRAT BIC SAS</v>
          </cell>
          <cell r="C74" t="str">
            <v>PJ</v>
          </cell>
          <cell r="E74" t="str">
            <v>Concurso de méritos</v>
          </cell>
          <cell r="F74" t="str">
            <v>EL CONTRATISTA se obliga con LA COMISIÓN a prestar los servicios de consultoría especializada para el diseño metodológico, desarrollo y entrega de los estudios denominados «El rol de los servicios OTT en el sector de las comunicaciones» y «Medición de percepción de calidad de los servicios de comunicaciones», incluyendo el análisis técnico, económico y regulatorio correspondiente, así como la formulación de recomendaciones orientadas al fortalecimiento de la prospectiva sectorial, para avanzar hacia una regulación anticipatoria, capaz de adaptarse a los cambios tecnológicos y de mercado.</v>
          </cell>
          <cell r="G74">
            <v>1316887500</v>
          </cell>
          <cell r="I74" t="str">
            <v>PROSPECTIVA ESTRATÉGICA</v>
          </cell>
          <cell r="J74" t="str">
            <v>VICTOR BALDRICH</v>
          </cell>
          <cell r="O74">
            <v>46164</v>
          </cell>
          <cell r="P74">
            <v>46171</v>
          </cell>
          <cell r="Q74">
            <v>46367</v>
          </cell>
        </row>
        <row r="75">
          <cell r="A75" t="str">
            <v>CONTRATO 74 DE 2026</v>
          </cell>
          <cell r="B75" t="str">
            <v>INFORMETRICS S.A.S BIC</v>
          </cell>
          <cell r="C75" t="str">
            <v>PJ</v>
          </cell>
          <cell r="E75" t="str">
            <v>Concurso de méritos</v>
          </cell>
          <cell r="F75" t="str">
            <v>EL CONTRATISTA se obliga con LA COMISIÓN a prestar los servicios de consultoría para el diseño y la realización de ejercicios de sicología del consumidor y economía del comportamiento respecto a usuarios de los servicios de comunicaciones fijas y móviles, con el propósito de identificar sus motivaciones, percepciones y expectativas frente a diferentes aspectos relacionados con la decisión de compra, las condiciones de contratación de los servicios y la atención de los operadores por medio de los canales existentes.</v>
          </cell>
          <cell r="G75">
            <v>516514336</v>
          </cell>
          <cell r="I75" t="str">
            <v>DISEÑO REGULATORIO</v>
          </cell>
          <cell r="J75" t="str">
            <v>ALEJANDRA ARENAS</v>
          </cell>
          <cell r="O75">
            <v>46174</v>
          </cell>
          <cell r="P75">
            <v>46177</v>
          </cell>
          <cell r="Q75">
            <v>46329</v>
          </cell>
        </row>
        <row r="76">
          <cell r="A76" t="str">
            <v>CONTRATO 75 DE 2026</v>
          </cell>
          <cell r="B76" t="str">
            <v>VERDE ECOLÓGICO S.A.S.</v>
          </cell>
          <cell r="C76" t="str">
            <v>PJ</v>
          </cell>
          <cell r="E76" t="str">
            <v>Mínima cuantía</v>
          </cell>
          <cell r="F76" t="str">
            <v>Contratar el suministro de elementos de ferretería, materiales de construcción, herramientas y demás bienes de ferretería afines, que son requeridos para desarrollar las actividades de mantenimiento preventivo y correctivo locativo y de muebles de la Comisión de Regulación de Comunicaciones - CRC</v>
          </cell>
          <cell r="G76">
            <v>2957020</v>
          </cell>
          <cell r="I76" t="str">
            <v>GESTIÓN ADM. Y FIN</v>
          </cell>
          <cell r="J76" t="str">
            <v>LUIS JORGE GUEVARA</v>
          </cell>
          <cell r="O76">
            <v>46198</v>
          </cell>
          <cell r="P76">
            <v>46205</v>
          </cell>
          <cell r="Q76">
            <v>46341</v>
          </cell>
        </row>
        <row r="77">
          <cell r="A77" t="str">
            <v>CONTRATO 76 DE 2026</v>
          </cell>
          <cell r="B77" t="str">
            <v>FREDDY RODRIGUEZ</v>
          </cell>
          <cell r="C77" t="str">
            <v>PN</v>
          </cell>
          <cell r="E77" t="str">
            <v>Prestación de servicios profesionales o Apoyo a la gestión</v>
          </cell>
          <cell r="F77" t="str">
            <v>Prestar los servicios profesionales como Ingeniero Senior especializado para apoyar la CRC en la migración de contenidos y la actualización de versión de Drupal para la sede electrónica (página web) de la entidad, alineado con las políticas vigentes de gobierno digital</v>
          </cell>
          <cell r="G77">
            <v>87518688</v>
          </cell>
          <cell r="I77" t="str">
            <v>RELACIONES CON GRUPOS DE VALOR / TECNOLOGÍAS Y SIST. DE INF.</v>
          </cell>
          <cell r="J77" t="str">
            <v>WILVER DELGADO</v>
          </cell>
          <cell r="O77">
            <v>46211</v>
          </cell>
          <cell r="P77">
            <v>46213</v>
          </cell>
          <cell r="Q77">
            <v>46387</v>
          </cell>
        </row>
        <row r="78">
          <cell r="A78" t="str">
            <v>CONTRATO 77 DE 2026</v>
          </cell>
          <cell r="B78" t="str">
            <v>MUNDIAL SEGUROS</v>
          </cell>
          <cell r="C78" t="str">
            <v>PJ</v>
          </cell>
          <cell r="E78" t="str">
            <v>Selección Abreviada de Menor Cuantía</v>
          </cell>
          <cell r="F78" t="str">
            <v>Contratar la póliza de Responsabilidad Civil de Datos - CYBER, de la Comisión de Regulación de Comunicaciones (CRC).</v>
          </cell>
          <cell r="G78">
            <v>187726231</v>
          </cell>
          <cell r="I78" t="str">
            <v>TECNOLOGÍAS Y SIST. DE INF. / GESTIÓN ADM. Y FIN.</v>
          </cell>
          <cell r="J78" t="str">
            <v>DIANA WILCHES / INGRID PICÓN</v>
          </cell>
          <cell r="O78">
            <v>46212</v>
          </cell>
          <cell r="P78">
            <v>46241</v>
          </cell>
          <cell r="Q78">
            <v>46875</v>
          </cell>
        </row>
        <row r="79">
          <cell r="A79" t="str">
            <v>CONTRATO 78 DE 2026 - OC 166465</v>
          </cell>
          <cell r="B79" t="str">
            <v xml:space="preserve">COMCEL S.A </v>
          </cell>
          <cell r="C79" t="str">
            <v>PJ</v>
          </cell>
          <cell r="E79" t="str">
            <v>AMP/IAD/CGS</v>
          </cell>
          <cell r="F79" t="str">
            <v>Adquirir una suscripción Microsoft Azure CSP dedicada a la gestión de respaldos (backup) y recuperación ante desastres de los activos de información institucionales desplegados en la nube de la Comisión de Regulación de Comunicaciones, bajo un modelo de Servicios Gestionados (Managed Services), incluyendo la implementación, operación, monitoreo, soporte y administración continua de las políticas de respaldo mediante Azure Backup y Recovery Services Vault</v>
          </cell>
          <cell r="G79">
            <v>189070594.40000001</v>
          </cell>
          <cell r="I79" t="str">
            <v>TECNOLOGÍAS Y SIST. DE INF.</v>
          </cell>
          <cell r="J79" t="str">
            <v>EDWIN ALBERTO VARGAS</v>
          </cell>
          <cell r="O79">
            <v>46206</v>
          </cell>
          <cell r="P79">
            <v>46206</v>
          </cell>
          <cell r="Q79">
            <v>46387</v>
          </cell>
        </row>
        <row r="80">
          <cell r="A80" t="str">
            <v>CONTRATO 79 DE 2026</v>
          </cell>
          <cell r="B80" t="str">
            <v>BRANDSTRAT BIC S.A.S</v>
          </cell>
          <cell r="C80" t="str">
            <v>PJ</v>
          </cell>
          <cell r="E80" t="str">
            <v>Concurso de méritos</v>
          </cell>
          <cell r="F80" t="str">
            <v xml:space="preserve">Prestación de servicios de consultoría para desarrollar un estudio que permita identificar, analizar y caracterizar los mecanismos de protección de niños, niñas y adolescentes (NNA) implementados en plataformas audiovisuales y servicios digitales. </v>
          </cell>
          <cell r="G80">
            <v>273424500</v>
          </cell>
          <cell r="I80" t="str">
            <v>DISEÑO REGULATORIO / IMPLEMENTACIÓN REGULATORIA</v>
          </cell>
          <cell r="J80" t="str">
            <v>VICTOR BALDRICH / RICARDO RAMÍREZ</v>
          </cell>
          <cell r="O80">
            <v>46231</v>
          </cell>
          <cell r="P80">
            <v>46238</v>
          </cell>
          <cell r="Q80">
            <v>46359</v>
          </cell>
        </row>
        <row r="81">
          <cell r="A81" t="str">
            <v>CONTRATO 80 DE 2026</v>
          </cell>
          <cell r="B81" t="str">
            <v>GIGA SAS</v>
          </cell>
          <cell r="C81" t="str">
            <v>PJ</v>
          </cell>
          <cell r="E81" t="str">
            <v>Prestación de servicios profesionales o Apoyo a la gestión</v>
          </cell>
          <cell r="F81" t="str">
            <v>Renovación de los servicios de soporte, mantenimiento y actualización del sistema de Gestión Documental ONBASE por un (1) año y adquisición de bolsa de horas para la Comisión de Regulación de Comunicaciones</v>
          </cell>
          <cell r="G81">
            <v>333764531.69999999</v>
          </cell>
          <cell r="I81" t="str">
            <v>TECNOLOGÍAS Y SIST. DE INF. / GESTIÓN ADM. Y FIN.</v>
          </cell>
          <cell r="J81" t="str">
            <v>SANDRA SALAZAR</v>
          </cell>
          <cell r="O81">
            <v>46234</v>
          </cell>
          <cell r="P81">
            <v>46240</v>
          </cell>
          <cell r="Q81">
            <v>46600</v>
          </cell>
        </row>
        <row r="83">
          <cell r="A83" t="str">
            <v>CONTRATO 82 DE 2026</v>
          </cell>
          <cell r="B83" t="str">
            <v>ALL TECHNOLOGICAL SERVICES ATS S A S</v>
          </cell>
          <cell r="C83" t="str">
            <v>PJ</v>
          </cell>
          <cell r="E83" t="str">
            <v>Mínima cuantía</v>
          </cell>
          <cell r="F83" t="str">
            <v>Contratar el servicio de Mantenimiento preventivo y correctivo con suministro de repuestos, partes y accesorios nuevos y originales no remanufacturados, a todo costo, para los equipos eléctricos y electrónicos de la Comisión de Regulación de Comunicaciones.</v>
          </cell>
          <cell r="G83">
            <v>5902257</v>
          </cell>
          <cell r="I83" t="str">
            <v>GESTIÓN ADM. Y FIN</v>
          </cell>
          <cell r="J83" t="str">
            <v>LUIS JORGE GUEVARA</v>
          </cell>
          <cell r="O83">
            <v>46231</v>
          </cell>
          <cell r="P83">
            <v>46233</v>
          </cell>
          <cell r="Q83">
            <v>46356</v>
          </cell>
        </row>
        <row r="84">
          <cell r="A84" t="str">
            <v>CONTRATO 83 DE 2026</v>
          </cell>
          <cell r="B84" t="str">
            <v>BAG SAS</v>
          </cell>
          <cell r="C84" t="str">
            <v>PJ</v>
          </cell>
          <cell r="E84" t="str">
            <v>Selección Abreviada de Menor Cuantía</v>
          </cell>
          <cell r="F84" t="str">
            <v xml:space="preserve">Renovación del licenciamiento actual del software de Gestión de Servicios de TI (ITSM) Aranda Service Desk (ASDK) y Aranda Client Management (ACM) hacia un modelo de suscripción cloud con la solución Aranda Service Management Suite (ASMS) y Device Management (ADM), incluyendo los servicios requeridos para su implementación, migración y puesta en operación para la Comisión de Regulación de Comunicaciones - CRC. </v>
          </cell>
          <cell r="G84">
            <v>90950000</v>
          </cell>
          <cell r="I84" t="str">
            <v>TECNOLOGÍAS Y SIST. DE INF.</v>
          </cell>
          <cell r="J84" t="str">
            <v>DUGLAS LIZCANO</v>
          </cell>
          <cell r="O84">
            <v>46240</v>
          </cell>
          <cell r="P84">
            <v>46253</v>
          </cell>
          <cell r="Q84">
            <v>46616</v>
          </cell>
        </row>
        <row r="85">
          <cell r="A85" t="str">
            <v>CONTRATO 84 DE 2026</v>
          </cell>
          <cell r="B85" t="str">
            <v>DIANA CIFUENTES</v>
          </cell>
          <cell r="C85" t="str">
            <v>PN</v>
          </cell>
          <cell r="E85" t="str">
            <v>Prestación de servicios profesionales o Apoyo a la gestión</v>
          </cell>
          <cell r="F85" t="str">
            <v xml:space="preserve">Prestar servicios profesionales especializados de apoyo técnico a la CRC en los componentes de diseño de experiencia de usuario (UX/UI), arquitectura de información, accesibilidad, usabilidad y desarrollo Front-end que se requieran para el fortalecimiento del ecosistema digital Aula CRC, incluyendo la estructuración, implementación y despliegue del Centro Interactivo de Recursos Pedagógicos, así como para la mejora del entorno LMS Moodle, de acuerdo con los lineamientos, requerimientos y la estrategia definidos por la Entidad, garantizando la coherencia visual y la integración orgánica entre ambos entornos. </v>
          </cell>
          <cell r="G85">
            <v>59400000</v>
          </cell>
          <cell r="I85" t="str">
            <v>PEDAGOGÍA REGULATORIA / TECNOLOGÍAS Y SIST. DE INF.</v>
          </cell>
          <cell r="J85" t="str">
            <v>WILVER DELGADO / RICARDO RAMÍREZ</v>
          </cell>
          <cell r="O85">
            <v>46239</v>
          </cell>
          <cell r="P85">
            <v>46245</v>
          </cell>
          <cell r="Q85">
            <v>46382</v>
          </cell>
        </row>
        <row r="86">
          <cell r="A86" t="str">
            <v>CONTRATO 85 DE 2026</v>
          </cell>
          <cell r="B86" t="str">
            <v>JONATHAN DAVID ASÍAS PINO</v>
          </cell>
          <cell r="C86" t="str">
            <v>PN</v>
          </cell>
          <cell r="E86" t="str">
            <v>Prestación de servicios profesionales o Apoyo a la gestión</v>
          </cell>
          <cell r="F86" t="str">
            <v xml:space="preserve">Prestar servicios profesionales especializados de apoyo a la CRC en la configuración, y actualización del entorno LMS (Moodle) del ecosistema Aula CRC, así como la virtualización de nuevos contenidos y la adecuación de recursos pedagógicos interactivos de cursos tipo MOOC, de acuerdo con los requerimientos y lineamientos técnicos definidos por la Entidad. 
 </v>
          </cell>
          <cell r="G86">
            <v>27450000</v>
          </cell>
          <cell r="I86" t="str">
            <v>PEDAGOGÍA REGULATORIA</v>
          </cell>
          <cell r="J86" t="str">
            <v>RICARDO RAMÍREZ</v>
          </cell>
          <cell r="O86">
            <v>46239</v>
          </cell>
          <cell r="P86">
            <v>46245</v>
          </cell>
          <cell r="Q86">
            <v>46382</v>
          </cell>
        </row>
        <row r="87">
          <cell r="A87" t="str">
            <v>CONTRATO 86 DE 2026</v>
          </cell>
          <cell r="B87" t="str">
            <v xml:space="preserve">STATISTA </v>
          </cell>
          <cell r="C87" t="str">
            <v>PJ</v>
          </cell>
          <cell r="E87" t="str">
            <v>Contratación directa</v>
          </cell>
          <cell r="F87" t="str">
            <v>Contratar la suscripción a la plataforma web de STATISTA (www.statista.com) que provee información global de indicadores y estadísticas sobre diferentes sectores de la economía. El objeto será ejecutado de acuerdo con las condiciones técnicas de acceso a la plataforma que STATISTA tiene de manera general para sus Usuarios y por tanto no se considera exclusiva para LA COMISIÓN</v>
          </cell>
          <cell r="G87">
            <v>161297800</v>
          </cell>
          <cell r="I87" t="str">
            <v>PEDAGOGÍA REGULATORIA</v>
          </cell>
          <cell r="J87" t="str">
            <v>RICARDO RAMÍREZ</v>
          </cell>
          <cell r="O87">
            <v>46245</v>
          </cell>
          <cell r="P87">
            <v>46246</v>
          </cell>
          <cell r="Q87">
            <v>46245</v>
          </cell>
        </row>
        <row r="88">
          <cell r="A88" t="str">
            <v>CONTRATO 87 DE 2026</v>
          </cell>
          <cell r="B88" t="str">
            <v>WEXLER</v>
          </cell>
          <cell r="C88" t="str">
            <v>PJ</v>
          </cell>
          <cell r="E88" t="str">
            <v>Selección Abreviada de Menor Cuantía</v>
          </cell>
          <cell r="F88" t="str">
            <v>la Renovación de las licencias y los servicios de soporte técnico especializado por un (1) año, que incluya el fortalecimiento, la configuración, parametrización, optimización y apoyo a la gestión de los equipos de comunicaciones y de seguridad perimetral, requeridas para garantizar la operación de la infraestructura híbrida y a los usuarios finales de la Entidad; así como el suministro e instalación de nuevos Access Point con su respectivo licenciamiento y soporte, la migración a la solución de detección y respuesta extendida (XDR) y la implementación de suscripción de seguridad SaaS para correo electrónico</v>
          </cell>
          <cell r="G88">
            <v>431121316</v>
          </cell>
          <cell r="I88" t="str">
            <v>TECNOLOGÍAS Y SIST. DE INF.</v>
          </cell>
          <cell r="J88" t="str">
            <v>EDUIN CRUZ</v>
          </cell>
          <cell r="O88">
            <v>46239</v>
          </cell>
          <cell r="P88">
            <v>46252</v>
          </cell>
          <cell r="Q88">
            <v>46661</v>
          </cell>
        </row>
        <row r="89">
          <cell r="A89" t="str">
            <v>CONTRATO 88 DE 2026</v>
          </cell>
          <cell r="B89" t="str">
            <v>CENTRO CAR 19 LTDA</v>
          </cell>
          <cell r="C89" t="str">
            <v>PJ</v>
          </cell>
          <cell r="E89" t="str">
            <v>Mínima cuantía</v>
          </cell>
          <cell r="F89" t="str">
            <v>Mantenimiento preventivo y correctivo para los vehículos de la Comisión de Regulación
de Comunicaciones, incluyendo mano de obra, suministro de repuestos originales nuevos y otros
servicios</v>
          </cell>
          <cell r="G89">
            <v>9987981</v>
          </cell>
          <cell r="I89" t="str">
            <v>GESTIÓN ADM. Y FIN</v>
          </cell>
          <cell r="J89" t="str">
            <v>DIANA WILCHES</v>
          </cell>
          <cell r="O89">
            <v>46239</v>
          </cell>
          <cell r="P89">
            <v>46254</v>
          </cell>
          <cell r="Q89">
            <v>46387</v>
          </cell>
        </row>
        <row r="90">
          <cell r="A90" t="str">
            <v>CONTRATO 89 DE 2026</v>
          </cell>
          <cell r="B90" t="str">
            <v>SANDRA ALVAREZ</v>
          </cell>
          <cell r="C90" t="str">
            <v>PN</v>
          </cell>
          <cell r="F90" t="str">
            <v>Prestar servicios profesionales para apoyar la identificación y documentación de los tipos de violencias digitales y las rutas institucionales de atención, así como para el desarrollo del componente conceptual, pedagógico y de contenidos del curso virtual sobre Violencias Digitales Basadas en Género (VDBG) mediadas por Inteligencia Artificial, bajo enfoques de derechos humanos e interseccionalidad</v>
          </cell>
          <cell r="G90">
            <v>30000000</v>
          </cell>
          <cell r="I90" t="str">
            <v>PEDAGOGÍA REGULATORIA</v>
          </cell>
          <cell r="J90" t="str">
            <v>RICARDO RAMÍREZ</v>
          </cell>
          <cell r="O90">
            <v>46245</v>
          </cell>
          <cell r="P90">
            <v>46246</v>
          </cell>
          <cell r="Q90">
            <v>46338</v>
          </cell>
        </row>
        <row r="91">
          <cell r="A91" t="str">
            <v>CONTRATO 90 DE 2026</v>
          </cell>
          <cell r="B91" t="str">
            <v>LH URBAN CHIC S.A.S.</v>
          </cell>
          <cell r="C91" t="str">
            <v>PJ</v>
          </cell>
          <cell r="E91" t="str">
            <v>Mínima cuantía</v>
          </cell>
          <cell r="F91" t="str">
            <v>Contratar la adquisición de bonos de dotación canjeables única y exclusivamente para la compra de vestuario y calzado para los funcionarios de la Comisión de Regulación de Comunicaciones – CRC, que tengan o adquieran el derecho en la vigencia 2026</v>
          </cell>
          <cell r="G91">
            <v>19360000</v>
          </cell>
          <cell r="I91" t="str">
            <v>GESTIÓN ADM. Y FIN</v>
          </cell>
          <cell r="J91" t="str">
            <v>LUIS JORGE GUEVARA</v>
          </cell>
          <cell r="O91">
            <v>46248</v>
          </cell>
          <cell r="P91">
            <v>46253</v>
          </cell>
          <cell r="Q91">
            <v>46371</v>
          </cell>
        </row>
        <row r="92">
          <cell r="A92" t="str">
            <v>CONTRATO 91 DE 2026</v>
          </cell>
          <cell r="B92" t="str">
            <v>MAICOL PEÑA</v>
          </cell>
          <cell r="C92" t="str">
            <v>PN</v>
          </cell>
          <cell r="E92" t="str">
            <v>Prestación de servicios profesionales o Apoyo a la gestión</v>
          </cell>
          <cell r="F92" t="str">
            <v>Prestar los servicios profesionales especializados como Analista de Requerimientos y Pruebas QA, brindando apoyo técnico en el levantamiento de requerimientos técnicos y funcionales, el diseño de casos de pruebas y el aseguramiento de la calidad de software, mediante la ejecución de pruebas funcionales y no funcionales sobre los desarrollos implementados en el Centro Interactivo de Recursos Pedagógicos y en el entorno LMS Moodle del ecosistema Aula CRC, de conformidad con los lineamientos y requerimientos definidos por la Comisión de Regulación de Comunicaciones.</v>
          </cell>
          <cell r="G92">
            <v>36000000</v>
          </cell>
          <cell r="I92" t="str">
            <v>PEDAGOGÍA REGULATORIA / TECNOLOGÍAS Y SIST. DE INF.</v>
          </cell>
          <cell r="J92" t="str">
            <v>WILVER DELGADO / RICARDO RAMÍREZ</v>
          </cell>
          <cell r="O92">
            <v>46245</v>
          </cell>
          <cell r="P92">
            <v>46246</v>
          </cell>
          <cell r="Q92">
            <v>46383</v>
          </cell>
        </row>
        <row r="93">
          <cell r="A93" t="str">
            <v>CONTRATO 92 DE 2026</v>
          </cell>
          <cell r="B93" t="str">
            <v>ALL TECHNOLOGICAL SERVICES ATS S A S</v>
          </cell>
          <cell r="C93" t="str">
            <v>PJ</v>
          </cell>
          <cell r="E93" t="str">
            <v>Mínima cuantía</v>
          </cell>
          <cell r="F93" t="str">
            <v>Contratar la prestación del servicio de mantenimiento preventivo y correctivo de los equipos, Facilities e infraestructura de Tecnologías de Información y Comunicaciones utilizados por la Comisión de Regulación de Comunicaciones, incluyendo el suministro e instalación de repuestos, partes y o accesorios originales no remanufacturados que se requieran con el fin de asegurar su funcionamiento continuo y confiable.</v>
          </cell>
          <cell r="G93">
            <v>29990215</v>
          </cell>
          <cell r="I93" t="str">
            <v>TECNOLOGÍAS Y SIST. DE INF.</v>
          </cell>
          <cell r="J93" t="str">
            <v>JEISSON PULIDO</v>
          </cell>
          <cell r="O93">
            <v>46252</v>
          </cell>
          <cell r="P93">
            <v>46258</v>
          </cell>
          <cell r="Q93">
            <v>46371</v>
          </cell>
        </row>
      </sheetData>
      <sheetData sheetId="3">
        <row r="1">
          <cell r="A1" t="str">
            <v xml:space="preserve">CONTRATO No (CON AÑO). </v>
          </cell>
          <cell r="B1" t="str">
            <v>NOMBRE DEL CONTRATISTA</v>
          </cell>
          <cell r="C1" t="str">
            <v>No. DEL OTROSI O DE LA MODIFICACIÓN</v>
          </cell>
          <cell r="D1" t="str">
            <v>RAZÓN DE LA ELABORACION DEL OTROSI</v>
          </cell>
          <cell r="E1" t="str">
            <v>FECHA DE SUSCRIPCIÓN DEL OTRO SI</v>
          </cell>
          <cell r="F1" t="str">
            <v>ADICIÓN / REDUCCIÓN</v>
          </cell>
          <cell r="G1" t="str">
            <v>FECHA DE PRORROGA (HASTA)/FEHA DE TERMINACIÓN ANTICIPADA</v>
          </cell>
          <cell r="H1" t="str">
            <v>FECHA DE SUPENSIÓN (DESDE)</v>
          </cell>
          <cell r="I1" t="str">
            <v>FECHA DE SUPENSIÓN (HASTA)</v>
          </cell>
          <cell r="J1" t="str">
            <v>ACTUALIZACIÓN DE GARANTÍAS (SI/NO)</v>
          </cell>
          <cell r="K1" t="str">
            <v>ABOGADO</v>
          </cell>
          <cell r="L1" t="str">
            <v>OBSERVACIONES</v>
          </cell>
        </row>
        <row r="2">
          <cell r="A2" t="str">
            <v>CONTRATO 105 DE 2025 - OC 154591</v>
          </cell>
          <cell r="B2" t="str">
            <v xml:space="preserve">COBRANZA NACIONAL DE CRÉDITOS SAS </v>
          </cell>
          <cell r="C2">
            <v>1</v>
          </cell>
          <cell r="D2" t="str">
            <v xml:space="preserve">ADICIÓN (IPC y ajuste SMLMV 2026 por $80,392,536,49) </v>
          </cell>
          <cell r="E2">
            <v>46072</v>
          </cell>
          <cell r="F2">
            <v>80392536.489999995</v>
          </cell>
          <cell r="G2" t="str">
            <v xml:space="preserve">N/A  </v>
          </cell>
          <cell r="H2" t="str">
            <v xml:space="preserve">N/A </v>
          </cell>
          <cell r="I2" t="str">
            <v xml:space="preserve">N/A </v>
          </cell>
          <cell r="J2" t="str">
            <v>SÍ</v>
          </cell>
          <cell r="K2" t="str">
            <v xml:space="preserve">JOHAN HERRERA </v>
          </cell>
        </row>
        <row r="3">
          <cell r="A3" t="str">
            <v>CONTRATO 95 DE 2025</v>
          </cell>
          <cell r="B3" t="str">
            <v>AXA COLPATRIA</v>
          </cell>
          <cell r="C3">
            <v>1</v>
          </cell>
          <cell r="D3" t="str">
            <v>ADICIÓN</v>
          </cell>
          <cell r="E3">
            <v>46121</v>
          </cell>
          <cell r="F3">
            <v>5427536</v>
          </cell>
          <cell r="G3" t="str">
            <v xml:space="preserve">N/A  </v>
          </cell>
          <cell r="H3" t="str">
            <v xml:space="preserve">N/A  </v>
          </cell>
          <cell r="I3" t="str">
            <v xml:space="preserve">N/A  </v>
          </cell>
          <cell r="J3" t="str">
            <v xml:space="preserve">N/A  </v>
          </cell>
          <cell r="K3" t="str">
            <v>JENNY ROJAS</v>
          </cell>
        </row>
        <row r="4">
          <cell r="A4" t="str">
            <v>CONTRATO 15 DE 2026</v>
          </cell>
          <cell r="B4" t="str">
            <v>MONICA MEJÍA JIMÉNEZ</v>
          </cell>
          <cell r="C4">
            <v>1</v>
          </cell>
          <cell r="D4" t="str">
            <v>CESIÓN DEL CONTRATO A LADY GIOVANNA TORRES SÁNCHEZ</v>
          </cell>
          <cell r="E4">
            <v>46142</v>
          </cell>
          <cell r="F4" t="str">
            <v xml:space="preserve">N/A  </v>
          </cell>
          <cell r="G4" t="str">
            <v xml:space="preserve">N/A  </v>
          </cell>
          <cell r="H4" t="str">
            <v xml:space="preserve">N/A  </v>
          </cell>
          <cell r="I4" t="str">
            <v xml:space="preserve">N/A  </v>
          </cell>
          <cell r="J4" t="str">
            <v xml:space="preserve">N/A  </v>
          </cell>
          <cell r="K4" t="str">
            <v>JENNY ROJAS</v>
          </cell>
          <cell r="L4" t="str">
            <v>EL CONTRATISTA CEDENTE - MÓNICA MEJÍA JIMÉNEZ, identificada con cédula de ciudadanía No. 38.879.712 cede el Contrato de Prestación de Servicios No. 15 de 2026, AL CONTRATISTA CESIONARIO - LADY GIOVANNA TORRES SÁNCHEZ, identificada con cédula de ciudadanía No. 37.394.973</v>
          </cell>
        </row>
        <row r="5">
          <cell r="A5" t="str">
            <v>CONTRATO 106 DE 2025 - OC 154645</v>
          </cell>
          <cell r="B5" t="str">
            <v>Consorcio @ C&amp;D</v>
          </cell>
          <cell r="C5">
            <v>1</v>
          </cell>
          <cell r="D5" t="str">
            <v>ADICIÓN Y PRORROGA</v>
          </cell>
          <cell r="E5">
            <v>46167</v>
          </cell>
          <cell r="F5">
            <v>61081144.759999998</v>
          </cell>
          <cell r="G5">
            <v>46280</v>
          </cell>
          <cell r="H5" t="str">
            <v xml:space="preserve">N/A  </v>
          </cell>
          <cell r="I5" t="str">
            <v xml:space="preserve">N/A  </v>
          </cell>
          <cell r="J5" t="str">
            <v>SI</v>
          </cell>
          <cell r="K5" t="str">
            <v>JENNY ROJAS</v>
          </cell>
        </row>
        <row r="6">
          <cell r="A6" t="str">
            <v>CONTRATO 112 DE 2025</v>
          </cell>
          <cell r="B6" t="str">
            <v>INGFRACOL</v>
          </cell>
          <cell r="C6">
            <v>1</v>
          </cell>
          <cell r="D6" t="str">
            <v>ADICIÓN Y PRORROGA</v>
          </cell>
          <cell r="E6">
            <v>46176</v>
          </cell>
          <cell r="F6">
            <v>15141080</v>
          </cell>
          <cell r="G6">
            <v>46326</v>
          </cell>
          <cell r="H6" t="str">
            <v xml:space="preserve">N/A  </v>
          </cell>
          <cell r="I6" t="str">
            <v xml:space="preserve">N/A  </v>
          </cell>
          <cell r="J6" t="str">
            <v>SI</v>
          </cell>
          <cell r="K6" t="str">
            <v xml:space="preserve">JOHAN HERRERA </v>
          </cell>
          <cell r="L6" t="str">
            <v xml:space="preserve">27 de junio de  2029 garantía aprobada. </v>
          </cell>
        </row>
        <row r="7">
          <cell r="A7" t="str">
            <v>CONTRATO 179 DE 2023</v>
          </cell>
          <cell r="B7" t="str">
            <v>WEXLER SAS</v>
          </cell>
          <cell r="C7">
            <v>1</v>
          </cell>
          <cell r="D7" t="str">
            <v>ADICIÓN Y PRORROGA</v>
          </cell>
          <cell r="E7">
            <v>46192</v>
          </cell>
          <cell r="F7">
            <v>272070252</v>
          </cell>
          <cell r="G7">
            <v>46326</v>
          </cell>
          <cell r="H7" t="str">
            <v>N/A</v>
          </cell>
          <cell r="I7" t="str">
            <v>N/A</v>
          </cell>
          <cell r="J7" t="str">
            <v>SI</v>
          </cell>
          <cell r="K7" t="str">
            <v>GREGORIO GUTIERREZ</v>
          </cell>
          <cell r="L7" t="str">
            <v>Aprobación garantia</v>
          </cell>
        </row>
        <row r="8">
          <cell r="A8" t="str">
            <v>CONTRATO 112 DE 2024</v>
          </cell>
          <cell r="B8" t="str">
            <v>IMPRENTA NACIONAL DE COLOMBIA</v>
          </cell>
          <cell r="C8">
            <v>2</v>
          </cell>
          <cell r="D8" t="str">
            <v>ADICIÓN Y PRORROGA</v>
          </cell>
          <cell r="E8">
            <v>46192</v>
          </cell>
          <cell r="F8">
            <v>7000000</v>
          </cell>
          <cell r="G8">
            <v>46356</v>
          </cell>
          <cell r="H8" t="str">
            <v>N/A</v>
          </cell>
          <cell r="I8" t="str">
            <v>N/A</v>
          </cell>
          <cell r="J8" t="str">
            <v>N/A</v>
          </cell>
          <cell r="K8" t="str">
            <v>LUCERO CASTELLANOS</v>
          </cell>
          <cell r="L8" t="str">
            <v>NINGUNA</v>
          </cell>
        </row>
        <row r="9">
          <cell r="A9" t="str">
            <v>CONTRATO 91 DE 2025</v>
          </cell>
          <cell r="B9" t="str">
            <v>TEIDOT SAS</v>
          </cell>
          <cell r="C9">
            <v>1</v>
          </cell>
          <cell r="D9" t="str">
            <v>ADICIÓN Y PRORROGA</v>
          </cell>
          <cell r="E9">
            <v>46211</v>
          </cell>
          <cell r="F9">
            <v>7507472</v>
          </cell>
          <cell r="G9">
            <v>46356</v>
          </cell>
          <cell r="H9" t="str">
            <v>N/A</v>
          </cell>
          <cell r="I9" t="str">
            <v>N/A</v>
          </cell>
          <cell r="J9" t="str">
            <v>SI</v>
          </cell>
          <cell r="K9" t="str">
            <v>GREGORIO GUTIERREZ</v>
          </cell>
          <cell r="L9" t="str">
            <v>Poliza aprobada</v>
          </cell>
        </row>
        <row r="10">
          <cell r="A10" t="str">
            <v>CONTRATO 116 DE 2024</v>
          </cell>
          <cell r="B10" t="str">
            <v xml:space="preserve">EMPRESA 472 </v>
          </cell>
          <cell r="C10">
            <v>2</v>
          </cell>
          <cell r="D10" t="str">
            <v>ADICIÓN Y PRORROGA</v>
          </cell>
          <cell r="E10">
            <v>46220</v>
          </cell>
          <cell r="F10">
            <v>68060720</v>
          </cell>
          <cell r="G10">
            <v>46356</v>
          </cell>
          <cell r="H10" t="str">
            <v>N/A</v>
          </cell>
          <cell r="I10" t="str">
            <v>N/A</v>
          </cell>
          <cell r="J10" t="str">
            <v>NO</v>
          </cell>
          <cell r="K10" t="str">
            <v xml:space="preserve">JOHAN HERRERA </v>
          </cell>
          <cell r="L10" t="str">
            <v>Contrato interadmnistrativo no requiere póliza</v>
          </cell>
        </row>
        <row r="11">
          <cell r="A11" t="str">
            <v xml:space="preserve">CONTRATO 105 DE 2025 - OC 154591 </v>
          </cell>
          <cell r="B11" t="str">
            <v xml:space="preserve"> COBRANZA NACIONAL DE CREDITOS S.A.S - CONALCREDITOS 
CONALCENTER BPO</v>
          </cell>
          <cell r="C11">
            <v>2</v>
          </cell>
          <cell r="D11" t="str">
            <v>ADICIÓN Y PRORROGA</v>
          </cell>
          <cell r="E11">
            <v>46226</v>
          </cell>
          <cell r="F11">
            <v>171151683.83000001</v>
          </cell>
          <cell r="G11">
            <v>46326</v>
          </cell>
          <cell r="H11" t="str">
            <v>N/A</v>
          </cell>
          <cell r="I11" t="str">
            <v>N/A</v>
          </cell>
          <cell r="J11" t="str">
            <v>SÍ</v>
          </cell>
          <cell r="K11" t="str">
            <v xml:space="preserve">JOHAN HERRERA </v>
          </cell>
          <cell r="L11" t="str">
            <v>Se aprobó póliza en físico, la cual fue remitida a la supervisora para su cargue en la TVEC</v>
          </cell>
        </row>
        <row r="12">
          <cell r="A12" t="str">
            <v>CONTRATO 106 DE 2025 - OC 154645</v>
          </cell>
          <cell r="B12" t="str">
            <v>Consorcio @ C&amp;D</v>
          </cell>
          <cell r="C12">
            <v>2</v>
          </cell>
          <cell r="D12" t="str">
            <v>ADICIÓN Y PRORROGA</v>
          </cell>
          <cell r="E12">
            <v>46253</v>
          </cell>
          <cell r="F12">
            <v>21380614.93</v>
          </cell>
          <cell r="G12">
            <v>46310</v>
          </cell>
          <cell r="H12" t="str">
            <v>N/A</v>
          </cell>
          <cell r="I12" t="str">
            <v>N/A</v>
          </cell>
          <cell r="J12" t="str">
            <v>SI</v>
          </cell>
          <cell r="K12" t="str">
            <v>JENNY ROJAS</v>
          </cell>
          <cell r="L12" t="str">
            <v>Se aprobó póliza en físico, la cual fue remitida a la supervisora para su cargue en la TVEC</v>
          </cell>
        </row>
      </sheetData>
      <sheetData sheetId="4"/>
      <sheetData sheetId="5"/>
      <sheetData sheetId="6"/>
      <sheetData sheetId="7"/>
      <sheetData sheetId="8"/>
      <sheetData sheetId="9">
        <row r="30">
          <cell r="A30" t="str">
            <v>ALEJANDRA ARENAS</v>
          </cell>
          <cell r="B30">
            <v>1020749984</v>
          </cell>
        </row>
        <row r="31">
          <cell r="A31" t="str">
            <v>ANDRÉS CELEITA</v>
          </cell>
          <cell r="B31">
            <v>1010210143</v>
          </cell>
        </row>
        <row r="32">
          <cell r="A32" t="str">
            <v>CLAUDIA PALACIO</v>
          </cell>
          <cell r="B32">
            <v>30322559</v>
          </cell>
        </row>
        <row r="33">
          <cell r="A33" t="str">
            <v>DIANA WILCHES</v>
          </cell>
          <cell r="B33">
            <v>40049758</v>
          </cell>
        </row>
        <row r="34">
          <cell r="A34" t="str">
            <v>DUGLAS LIZCANO</v>
          </cell>
          <cell r="B34">
            <v>88218491</v>
          </cell>
        </row>
        <row r="35">
          <cell r="A35" t="str">
            <v>EDUIN CRUZ</v>
          </cell>
          <cell r="B35">
            <v>11445828</v>
          </cell>
        </row>
        <row r="36">
          <cell r="A36" t="str">
            <v>EDWIN ALBERTO VARGAS</v>
          </cell>
          <cell r="B36">
            <v>7173927</v>
          </cell>
        </row>
        <row r="37">
          <cell r="A37" t="str">
            <v>INGRID PICÓN</v>
          </cell>
          <cell r="B37">
            <v>60372503</v>
          </cell>
        </row>
        <row r="38">
          <cell r="A38" t="str">
            <v>JAVIER CRUZ</v>
          </cell>
          <cell r="B38">
            <v>79797975</v>
          </cell>
        </row>
        <row r="39">
          <cell r="A39" t="str">
            <v>JEISSON PULIDO</v>
          </cell>
          <cell r="B39">
            <v>1023914725</v>
          </cell>
        </row>
        <row r="40">
          <cell r="A40" t="str">
            <v>JENNIFER CUESTA</v>
          </cell>
          <cell r="B40">
            <v>52216719</v>
          </cell>
        </row>
        <row r="41">
          <cell r="A41" t="str">
            <v>JUAN PABLO HERNANDEZ</v>
          </cell>
          <cell r="B41">
            <v>80066028</v>
          </cell>
        </row>
        <row r="42">
          <cell r="A42" t="str">
            <v>LUIS JORGE GUEVARA</v>
          </cell>
          <cell r="B42">
            <v>80811747</v>
          </cell>
        </row>
        <row r="43">
          <cell r="A43" t="str">
            <v>LUZ MIREYA GARZÓN</v>
          </cell>
          <cell r="B43">
            <v>52328311</v>
          </cell>
        </row>
        <row r="44">
          <cell r="A44" t="str">
            <v>MARGARITA GIL</v>
          </cell>
          <cell r="B44">
            <v>52711453</v>
          </cell>
        </row>
        <row r="45">
          <cell r="A45" t="str">
            <v>MARIANA SARMIENTO</v>
          </cell>
          <cell r="B45">
            <v>52862292</v>
          </cell>
        </row>
        <row r="46">
          <cell r="A46" t="str">
            <v>MARTHA VALENZUELA</v>
          </cell>
          <cell r="B46">
            <v>52030345</v>
          </cell>
        </row>
        <row r="47">
          <cell r="A47" t="str">
            <v>MIGUEL DURÁN</v>
          </cell>
          <cell r="B47">
            <v>92541020</v>
          </cell>
        </row>
        <row r="48">
          <cell r="A48" t="str">
            <v>RICARDO RAMÍREZ</v>
          </cell>
          <cell r="B48">
            <v>79444533</v>
          </cell>
        </row>
        <row r="49">
          <cell r="A49" t="str">
            <v>ROCIO QUINCHE</v>
          </cell>
          <cell r="B49">
            <v>1032417388</v>
          </cell>
        </row>
        <row r="50">
          <cell r="A50" t="str">
            <v>RODULFO BECERRA</v>
          </cell>
          <cell r="B50">
            <v>7226034</v>
          </cell>
        </row>
        <row r="51">
          <cell r="A51" t="str">
            <v>SANDRA SALAZAR</v>
          </cell>
          <cell r="B51">
            <v>52075451</v>
          </cell>
        </row>
        <row r="52">
          <cell r="A52" t="str">
            <v>SANDRA VILLABONA</v>
          </cell>
          <cell r="B52">
            <v>52989096</v>
          </cell>
        </row>
        <row r="53">
          <cell r="A53" t="str">
            <v>VICTOR BALDRICH</v>
          </cell>
          <cell r="B53">
            <v>1019105701</v>
          </cell>
        </row>
        <row r="54">
          <cell r="A54" t="str">
            <v>VICTOR SANDOVAL</v>
          </cell>
          <cell r="B54">
            <v>1026264211</v>
          </cell>
        </row>
        <row r="55">
          <cell r="A55" t="str">
            <v>WILVER DELGADO</v>
          </cell>
          <cell r="B55">
            <v>13747812</v>
          </cell>
        </row>
        <row r="56">
          <cell r="A56" t="str">
            <v>YAMILE MATEUS</v>
          </cell>
          <cell r="B56">
            <v>46676269</v>
          </cell>
        </row>
        <row r="57">
          <cell r="A57" t="str">
            <v>YAMITH LIZCANO</v>
          </cell>
          <cell r="B57">
            <v>1032436894</v>
          </cell>
        </row>
        <row r="58">
          <cell r="A58" t="str">
            <v>YARIMA RUEDA</v>
          </cell>
          <cell r="B58">
            <v>60362814</v>
          </cell>
        </row>
        <row r="59">
          <cell r="A59" t="str">
            <v>ZOILA VARGAS</v>
          </cell>
          <cell r="B59">
            <v>46360403</v>
          </cell>
        </row>
        <row r="60">
          <cell r="A60" t="str">
            <v>VICTOR BALDRICH / RICARDO RAMÍREZ</v>
          </cell>
          <cell r="B60" t="str">
            <v>1019105701 / 79444533</v>
          </cell>
        </row>
        <row r="61">
          <cell r="A61" t="str">
            <v>VICTOR SANDOVAL /RICARDO RAMÍREZ</v>
          </cell>
          <cell r="B61" t="str">
            <v>1026264211 / 79444533</v>
          </cell>
        </row>
        <row r="62">
          <cell r="A62" t="str">
            <v>ALEJANDRA ARENAS / VICTOR SANDOVAL</v>
          </cell>
          <cell r="B62" t="str">
            <v>1020749984 / 1026264211</v>
          </cell>
        </row>
        <row r="63">
          <cell r="A63" t="str">
            <v>SANDRA VILLABONA / INGRID PICÓN</v>
          </cell>
          <cell r="B63" t="str">
            <v>52989096 / 60372503</v>
          </cell>
        </row>
        <row r="64">
          <cell r="A64" t="str">
            <v>WILVER DELGADO / RICARDO RAMÍREZ</v>
          </cell>
          <cell r="B64" t="str">
            <v>13747812 / 79444533</v>
          </cell>
        </row>
        <row r="65">
          <cell r="A65" t="str">
            <v>DIANA WILCHES / INGRID PICÓN</v>
          </cell>
          <cell r="B65" t="str">
            <v>40049758 / 60372503</v>
          </cell>
        </row>
        <row r="66">
          <cell r="A66" t="str">
            <v>VICTOR BALDRICH / MIGUEL DURÁN</v>
          </cell>
          <cell r="B66" t="str">
            <v>1019105701 / 92541020</v>
          </cell>
        </row>
      </sheetData>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TOS CRC 2015"/>
      <sheetName val="ListaTipoContratacion"/>
      <sheetName val="ClasedeContratacion"/>
      <sheetName val="Identificacion"/>
    </sheetNames>
    <sheetDataSet>
      <sheetData sheetId="0"/>
      <sheetData sheetId="1">
        <row r="4">
          <cell r="C4" t="str">
            <v>Acuerdo Marco de Precios</v>
          </cell>
        </row>
        <row r="5">
          <cell r="C5" t="str">
            <v>Concurso de Méritos - Abierto</v>
          </cell>
        </row>
        <row r="6">
          <cell r="C6" t="str">
            <v>Concurso de Méritos - por Precalificacion</v>
          </cell>
        </row>
        <row r="7">
          <cell r="C7" t="str">
            <v>Contratación Directa</v>
          </cell>
        </row>
        <row r="8">
          <cell r="C8" t="str">
            <v>Licitación Publica</v>
          </cell>
        </row>
        <row r="9">
          <cell r="C9" t="str">
            <v>Mínima Cuantía</v>
          </cell>
        </row>
        <row r="10">
          <cell r="C10" t="str">
            <v>Selección Abreviada de Menor Cuantía</v>
          </cell>
        </row>
        <row r="11">
          <cell r="C11" t="str">
            <v>Selección Abreviada -Subasta Inversa</v>
          </cell>
        </row>
        <row r="12">
          <cell r="C12"/>
        </row>
      </sheetData>
      <sheetData sheetId="2"/>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10022306&amp;isFromPublicArea=True&amp;isModal=true&amp;asPopupView=true" TargetMode="External"/><Relationship Id="rId18" Type="http://schemas.openxmlformats.org/officeDocument/2006/relationships/hyperlink" Target="https://community.secop.gov.co/Public/Tendering/OpportunityDetail/Index?noticeUID=CO1.NTC.10128609&amp;isFromPublicArea=True&amp;isModal=true&amp;asPopupView=true" TargetMode="External"/><Relationship Id="rId26" Type="http://schemas.openxmlformats.org/officeDocument/2006/relationships/hyperlink" Target="https://community.secop.gov.co/Public/Tendering/OpportunityDetail/Index?noticeUID=CO1.NTC.10429509&amp;isFromPublicArea=True&amp;isModal=true&amp;asPopupView=true" TargetMode="External"/><Relationship Id="rId3" Type="http://schemas.openxmlformats.org/officeDocument/2006/relationships/hyperlink" Target="https://operaciones.colombiacompra.gov.co/tienda-virtual-del-estado-colombiano/ordenes-compra/162532" TargetMode="External"/><Relationship Id="rId21" Type="http://schemas.openxmlformats.org/officeDocument/2006/relationships/hyperlink" Target="https://community.secop.gov.co/Public/Tendering/OpportunityDetail/Index?noticeUID=CO1.NTC.9487338&amp;isFromPublicArea=True&amp;isModal=true&amp;asPopupView=true" TargetMode="External"/><Relationship Id="rId7" Type="http://schemas.openxmlformats.org/officeDocument/2006/relationships/hyperlink" Target="https://community.secop.gov.co/Public/Tendering/OpportunityDetail/Index?noticeUID=CO1.NTC.10161916&amp;isFromPublicArea=True&amp;isModal=true&amp;asPopupView=true" TargetMode="External"/><Relationship Id="rId12" Type="http://schemas.openxmlformats.org/officeDocument/2006/relationships/hyperlink" Target="https://community.secop.gov.co/Public/Tendering/OpportunityDetail/Index?noticeUID=CO1.NTC.10015202&amp;isFromPublicArea=True&amp;isModal=true&amp;asPopupView=true" TargetMode="External"/><Relationship Id="rId17" Type="http://schemas.openxmlformats.org/officeDocument/2006/relationships/hyperlink" Target="https://community.secop.gov.co/Public/Tendering/OpportunityDetail/Index?noticeUID=CO1.NTC.10128576&amp;isFromPublicArea=True&amp;isModal=true&amp;asPopupView=true" TargetMode="External"/><Relationship Id="rId25" Type="http://schemas.openxmlformats.org/officeDocument/2006/relationships/hyperlink" Target="https://community.secop.gov.co/Public/Tendering/OpportunityDetail/Index?noticeUID=CO1.NTC.9415572&amp;isFromPublicArea=True&amp;isModal=true&amp;asPopupView=true" TargetMode="External"/><Relationship Id="rId33" Type="http://schemas.openxmlformats.org/officeDocument/2006/relationships/hyperlink" Target="https://community.secop.gov.co/Public/Tendering/OpportunityDetail/Index?noticeUID=CO1.NTC.10575387&amp;isFromPublicArea=True&amp;isModal=true&amp;asPopupView=true" TargetMode="External"/><Relationship Id="rId2" Type="http://schemas.openxmlformats.org/officeDocument/2006/relationships/hyperlink" Target="https://operaciones.colombiacompra.gov.co/tienda-virtual-del-estado-colombiano/ordenes-compra/163478" TargetMode="External"/><Relationship Id="rId16" Type="http://schemas.openxmlformats.org/officeDocument/2006/relationships/hyperlink" Target="https://community.secop.gov.co/Public/Tendering/OpportunityDetail/Index?noticeUID=CO1.NTC.10099755&amp;isFromPublicArea=True&amp;isModal=true&amp;asPopupView=true" TargetMode="External"/><Relationship Id="rId20" Type="http://schemas.openxmlformats.org/officeDocument/2006/relationships/hyperlink" Target="https://community.secop.gov.co/Public/Tendering/OpportunityDetail/Index?noticeUID=CO1.NTC.9528300&amp;isFromPublicArea=True&amp;isModal=true&amp;asPopupView=true" TargetMode="External"/><Relationship Id="rId29" Type="http://schemas.openxmlformats.org/officeDocument/2006/relationships/hyperlink" Target="https://community.secop.gov.co/Public/Tendering/OpportunityDetail/Index?noticeUID=CO1.NTC.10447063&amp;isFromPublicArea=True&amp;isModal=true&amp;asPopupView=true" TargetMode="External"/><Relationship Id="rId1" Type="http://schemas.openxmlformats.org/officeDocument/2006/relationships/hyperlink" Target="https://community.secop.gov.co/Public/Tendering/OpportunityDetail/Index?noticeUID=CO1.NTC.10077458&amp;isFromPublicArea=True&amp;isModal=true&amp;asPopupView=true" TargetMode="External"/><Relationship Id="rId6" Type="http://schemas.openxmlformats.org/officeDocument/2006/relationships/hyperlink" Target="https://community.secop.gov.co/Public/Tendering/OpportunityDetail/Index?noticeUID=CO1.NTC.10112609&amp;isFromPublicArea=True&amp;isModal=true&amp;asPopupView=true" TargetMode="External"/><Relationship Id="rId11" Type="http://schemas.openxmlformats.org/officeDocument/2006/relationships/hyperlink" Target="https://community.secop.gov.co/Public/Tendering/OpportunityDetail/Index?noticeUID=CO1.NTC.10016666&amp;isFromPublicArea=True&amp;isModal=true&amp;asPopupView=true" TargetMode="External"/><Relationship Id="rId24" Type="http://schemas.openxmlformats.org/officeDocument/2006/relationships/hyperlink" Target="https://operaciones.colombiacompra.gov.co/tienda-virtual-del-estado-colombiano/ordenes-compra/166465" TargetMode="External"/><Relationship Id="rId32" Type="http://schemas.openxmlformats.org/officeDocument/2006/relationships/hyperlink" Target="https://community.secop.gov.co/Public/Tendering/OpportunityDetail/Index?noticeUID=CO1.NTC.10451115&amp;isFromPublicArea=True&amp;isModal=true&amp;asPopupView=true" TargetMode="External"/><Relationship Id="rId5" Type="http://schemas.openxmlformats.org/officeDocument/2006/relationships/hyperlink" Target="https://community.secop.gov.co/Public/Tendering/OpportunityDetail/Index?noticeUID=CO1.NTC.10366033&amp;isFromPublicArea=True&amp;isModal=true&amp;asPopupView=true" TargetMode="External"/><Relationship Id="rId15" Type="http://schemas.openxmlformats.org/officeDocument/2006/relationships/hyperlink" Target="https://community.secop.gov.co/Public/Tendering/OpportunityDetail/Index?noticeUID=CO1.NTC.10021556&amp;isFromPublicArea=True&amp;isModal=true&amp;asPopupView=true" TargetMode="External"/><Relationship Id="rId23" Type="http://schemas.openxmlformats.org/officeDocument/2006/relationships/hyperlink" Target="https://community.secop.gov.co/Public/Tendering/OpportunityDetail/Index?noticeUID=CO1.NTC.10353282&amp;isFromPublicArea=True&amp;isModal=true&amp;asPopupView=true" TargetMode="External"/><Relationship Id="rId28" Type="http://schemas.openxmlformats.org/officeDocument/2006/relationships/hyperlink" Target="https://community.secop.gov.co/Public/Tendering/OpportunityDetail/Index?noticeUID=CO1.NTC.10486431&amp;isFromPublicArea=True&amp;isModal=true&amp;asPopupView=true" TargetMode="External"/><Relationship Id="rId10" Type="http://schemas.openxmlformats.org/officeDocument/2006/relationships/hyperlink" Target="https://community.secop.gov.co/Public/Tendering/OpportunityDetail/Index?noticeUID=CO1.NTC.10001131&amp;isFromPublicArea=True&amp;isModal=true&amp;asPopupView=true" TargetMode="External"/><Relationship Id="rId19" Type="http://schemas.openxmlformats.org/officeDocument/2006/relationships/hyperlink" Target="https://community.secop.gov.co/Public/Tendering/OpportunityDetail/Index?noticeUID=CO1.NTC.10140135&amp;isFromPublicArea=True&amp;isModal=true&amp;asPopupView=true" TargetMode="External"/><Relationship Id="rId31" Type="http://schemas.openxmlformats.org/officeDocument/2006/relationships/hyperlink" Target="https://community.secop.gov.co/Public/Tendering/OpportunityDetail/Index?noticeUID=CO1.NTC.10473469&amp;isFromPublicArea=True&amp;isModal=true&amp;asPopupView=true" TargetMode="External"/><Relationship Id="rId4" Type="http://schemas.openxmlformats.org/officeDocument/2006/relationships/hyperlink" Target="https://community.secop.gov.co/Public/Tendering/OpportunityDetail/Index?noticeUID=CO1.NTC.10140964&amp;isFromPublicArea=True&amp;isModal=true&amp;asPopupView=true" TargetMode="External"/><Relationship Id="rId9" Type="http://schemas.openxmlformats.org/officeDocument/2006/relationships/hyperlink" Target="https://community.secop.gov.co/Public/Tendering/OpportunityDetail/Index?noticeUID=CO1.NTC.9516591&amp;isFromPublicArea=True&amp;isModal=true&amp;asPopupView=true" TargetMode="External"/><Relationship Id="rId14" Type="http://schemas.openxmlformats.org/officeDocument/2006/relationships/hyperlink" Target="https://community.secop.gov.co/Public/Tendering/OpportunityDetail/Index?noticeUID=CO1.NTC.10053312&amp;isFromPublicArea=True&amp;isModal=true&amp;asPopupView=true" TargetMode="External"/><Relationship Id="rId22" Type="http://schemas.openxmlformats.org/officeDocument/2006/relationships/hyperlink" Target="https://community.secop.gov.co/Public/Tendering/OpportunityDetail/Index?noticeUID=CO1.NTC.10449514&amp;isFromPublicArea=True&amp;isModal=true&amp;asPopupView=true" TargetMode="External"/><Relationship Id="rId27" Type="http://schemas.openxmlformats.org/officeDocument/2006/relationships/hyperlink" Target="https://community.secop.gov.co/Public/Tendering/OpportunityDetail/Index?noticeUID=CO1.NTC.10594647&amp;isFromPublicArea=True&amp;isModal=true&amp;asPopupView=true" TargetMode="External"/><Relationship Id="rId30" Type="http://schemas.openxmlformats.org/officeDocument/2006/relationships/hyperlink" Target="https://community.secop.gov.co/Public/Tendering/OpportunityDetail/Index?noticeUID=CO1.NTC.10685188&amp;isFromPublicArea=True&amp;isModal=true&amp;asPopupView=true" TargetMode="External"/><Relationship Id="rId8" Type="http://schemas.openxmlformats.org/officeDocument/2006/relationships/hyperlink" Target="https://community.secop.gov.co/Public/Tendering/OpportunityDetail/Index?noticeUID=CO1.NTC.9510142&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1563-A797-4DF3-B983-8DA19E64A4ED}">
  <sheetPr>
    <tabColor rgb="FFFFFF00"/>
  </sheetPr>
  <dimension ref="A1:AF1048308"/>
  <sheetViews>
    <sheetView tabSelected="1" zoomScale="70" zoomScaleNormal="70" workbookViewId="0">
      <selection activeCell="AD1" sqref="AD1:AD1048576"/>
    </sheetView>
  </sheetViews>
  <sheetFormatPr baseColWidth="10" defaultColWidth="11.453125" defaultRowHeight="54.75" customHeight="1" x14ac:dyDescent="0.35"/>
  <cols>
    <col min="1" max="1" width="20.81640625" style="35" customWidth="1"/>
    <col min="2" max="2" width="25.7265625" style="36" customWidth="1"/>
    <col min="3" max="3" width="19.453125" style="36" customWidth="1"/>
    <col min="4" max="4" width="19.453125" style="36" hidden="1" customWidth="1"/>
    <col min="5" max="5" width="50.54296875" style="37" customWidth="1"/>
    <col min="6" max="6" width="19.81640625" style="37" customWidth="1"/>
    <col min="7" max="7" width="19.26953125" style="38" customWidth="1"/>
    <col min="8" max="8" width="17.7265625" style="39" customWidth="1"/>
    <col min="9" max="9" width="18" style="38" customWidth="1"/>
    <col min="10" max="10" width="23.81640625" style="38" customWidth="1"/>
    <col min="11" max="11" width="21.1796875" style="38" customWidth="1"/>
    <col min="12" max="12" width="15.7265625" style="40" customWidth="1"/>
    <col min="13" max="13" width="15.7265625" style="38" customWidth="1"/>
    <col min="14" max="14" width="15.7265625" style="30" customWidth="1"/>
    <col min="15" max="15" width="17.1796875" style="30" customWidth="1"/>
    <col min="16" max="16" width="15.7265625" style="30" hidden="1" customWidth="1"/>
    <col min="17" max="17" width="16.54296875" style="30" hidden="1" customWidth="1"/>
    <col min="18" max="18" width="15.1796875" style="30" hidden="1" customWidth="1"/>
    <col min="19" max="19" width="33.81640625" style="30" customWidth="1"/>
    <col min="20" max="20" width="15.7265625" style="30" hidden="1" customWidth="1"/>
    <col min="21" max="21" width="11.453125" style="30" customWidth="1"/>
    <col min="22" max="22" width="20" style="30" customWidth="1"/>
    <col min="23" max="23" width="16.1796875" style="30" customWidth="1"/>
    <col min="24" max="24" width="16.26953125" style="30" customWidth="1"/>
    <col min="25" max="25" width="16.7265625" style="30" customWidth="1"/>
    <col min="26" max="26" width="16.26953125" style="39" customWidth="1"/>
    <col min="27" max="27" width="9.26953125" style="30" customWidth="1"/>
    <col min="28" max="28" width="17.26953125" style="30" customWidth="1"/>
    <col min="29" max="29" width="18.81640625" style="30" customWidth="1"/>
    <col min="30" max="32" width="21.1796875" style="30" customWidth="1"/>
    <col min="33" max="16384" width="11.453125" style="30"/>
  </cols>
  <sheetData>
    <row r="1" spans="1:32" s="9" customFormat="1" ht="57.65" customHeight="1" x14ac:dyDescent="0.35">
      <c r="A1" s="1" t="s">
        <v>0</v>
      </c>
      <c r="B1" s="2" t="s">
        <v>1</v>
      </c>
      <c r="C1" s="1" t="s">
        <v>2</v>
      </c>
      <c r="D1" s="1" t="s">
        <v>3</v>
      </c>
      <c r="E1" s="1" t="s">
        <v>4</v>
      </c>
      <c r="F1" s="1" t="s">
        <v>5</v>
      </c>
      <c r="G1" s="3" t="s">
        <v>6</v>
      </c>
      <c r="H1" s="1" t="s">
        <v>7</v>
      </c>
      <c r="I1" s="3" t="s">
        <v>8</v>
      </c>
      <c r="J1" s="3" t="s">
        <v>9</v>
      </c>
      <c r="K1" s="3" t="s">
        <v>10</v>
      </c>
      <c r="L1" s="4" t="s">
        <v>11</v>
      </c>
      <c r="M1" s="3" t="s">
        <v>12</v>
      </c>
      <c r="N1" s="1" t="s">
        <v>13</v>
      </c>
      <c r="O1" s="1" t="s">
        <v>14</v>
      </c>
      <c r="P1" s="5" t="s">
        <v>15</v>
      </c>
      <c r="Q1" s="1" t="s">
        <v>16</v>
      </c>
      <c r="R1" s="1" t="s">
        <v>17</v>
      </c>
      <c r="S1" s="1" t="s">
        <v>18</v>
      </c>
      <c r="T1" s="1" t="s">
        <v>19</v>
      </c>
      <c r="U1" s="6" t="s">
        <v>20</v>
      </c>
      <c r="V1" s="6" t="s">
        <v>21</v>
      </c>
      <c r="W1" s="7" t="s">
        <v>22</v>
      </c>
      <c r="X1" s="7" t="s">
        <v>23</v>
      </c>
      <c r="Y1" s="7" t="s">
        <v>24</v>
      </c>
      <c r="Z1" s="7" t="s">
        <v>25</v>
      </c>
      <c r="AA1" s="7" t="s">
        <v>26</v>
      </c>
      <c r="AB1" s="7" t="s">
        <v>27</v>
      </c>
      <c r="AC1" s="8" t="s">
        <v>28</v>
      </c>
      <c r="AD1" s="1" t="s">
        <v>29</v>
      </c>
      <c r="AE1" s="1" t="s">
        <v>30</v>
      </c>
      <c r="AF1" s="1" t="s">
        <v>31</v>
      </c>
    </row>
    <row r="2" spans="1:32" ht="61.5" customHeight="1" x14ac:dyDescent="0.35">
      <c r="A2" s="1" t="str">
        <f>[1]Contratos!A2</f>
        <v>CONTRATO 01 DE 2026</v>
      </c>
      <c r="B2" s="10" t="str">
        <f>[1]Contratos!B2</f>
        <v>ERICK FRANCKS ESPEJO SILVA</v>
      </c>
      <c r="C2" s="10" t="str">
        <f>[1]Contratos!E2</f>
        <v>Prestación de servicios profesionales o Apoyo a la gestión</v>
      </c>
      <c r="D2" s="10" t="s">
        <v>32</v>
      </c>
      <c r="E2" s="11" t="str">
        <f>[1]Contratos!F2</f>
        <v>Prestar servicios profesionales en realización y producción audiovisual, para apoyar la Estrategia de Comunicaciones 2026 de la CRC mediante la planeación, grabación, edición y entrega de contenidos institucionales y la cobertura de eventos, garantizando calidad técnica, coherencia con la identidad visual, accesibilidad y comunicación inclusiva, utilizando sus propios equipos y actuando con autonomía profesional.</v>
      </c>
      <c r="F2" s="12">
        <v>112823292</v>
      </c>
      <c r="G2" s="13">
        <f>[1]Contratos!G2</f>
        <v>112823292</v>
      </c>
      <c r="H2" s="14" t="str">
        <f>IFERROR(VLOOKUP(A2, [1]Otrosí!A:F, 6, FALSE), "0")</f>
        <v>0</v>
      </c>
      <c r="I2" s="13">
        <f>SUM(G2:H2)</f>
        <v>112823292</v>
      </c>
      <c r="J2" s="15">
        <v>63769686</v>
      </c>
      <c r="K2" s="13">
        <f>I2-J2</f>
        <v>49053606</v>
      </c>
      <c r="L2" s="16">
        <f>J2/I2</f>
        <v>0.56521738436775981</v>
      </c>
      <c r="M2" s="17">
        <f>[1]Contratos!O2</f>
        <v>46036</v>
      </c>
      <c r="N2" s="17">
        <f>[1]Contratos!P2</f>
        <v>46038</v>
      </c>
      <c r="O2" s="17">
        <f>[1]Contratos!Q2</f>
        <v>46387</v>
      </c>
      <c r="P2" s="17" t="str">
        <f>IFERROR(VLOOKUP(A2, [1]Otrosí!A:L, 7, FALSE), "N/A")</f>
        <v>N/A</v>
      </c>
      <c r="Q2" s="18" t="s">
        <v>33</v>
      </c>
      <c r="R2" s="19" t="s">
        <v>34</v>
      </c>
      <c r="S2" s="20" t="s">
        <v>35</v>
      </c>
      <c r="T2" s="21" t="s">
        <v>36</v>
      </c>
      <c r="U2" s="10" t="str">
        <f>[1]Contratos!C2</f>
        <v>PN</v>
      </c>
      <c r="V2" s="10" t="str">
        <f>[1]Contratos!I2</f>
        <v>RELACIONES CON GRUPOS DE VALOR</v>
      </c>
      <c r="W2" s="22" t="str">
        <f>[1]Contratos!J2</f>
        <v>MARIANA SARMIENTO</v>
      </c>
      <c r="X2" s="23" cm="1">
        <f t="array" ref="X2">IFERROR(VLOOKUP(W2,[1]COORD!$A$30:$B$66, 2, FALSE),[1]COORD!$B$30:$B$66)</f>
        <v>52862292</v>
      </c>
      <c r="Y2" s="24" t="s">
        <v>37</v>
      </c>
      <c r="Z2" s="25">
        <v>1136883773</v>
      </c>
      <c r="AA2" s="26" t="str" cm="1">
        <f t="array" ref="AA2">IF(Y2&lt;&gt;"NIT","N/A",IF(OR(Z2="",Z2="N/A"),"N/A",IF(ISERROR(VALUE(IF(ISNUMBER(FIND("-",TEXT(Z2,"@"))),LEFT(TEXT(Z2,"@"),FIND("-",TEXT(Z2,"@"))-1),TEXT(Z2,"@")))),"N/A",IF(MOD(SUMPRODUCT(VALUE(MID(TEXT(VALUE(IF(ISNUMBER(FIND("-",TEXT(Z2,"@"))),LEFT(TEXT(Z2,"@"),FIND("-",TEXT(Z2,"@"))-1),TEXT(Z2,"@"))),"000000000000000"),{15,14,13,12,11,10,9,8,7,6,5,4,3,2,1},1)),{3,7,13,17,19,23,29,37,41,43,47,53,59,67,71}),11)=0,0,IF(MOD(SUMPRODUCT(VALUE(MID(TEXT(VALUE(IF(ISNUMBER(FIND("-",TEXT(Z2,"@"))),LEFT(TEXT(Z2,"@"),FIND("-",TEXT(Z2,"@"))-1),TEXT(Z2,"@"))),"000000000000000"),{15,14,13,12,11,10,9,8,7,6,5,4,3,2,1},1)),{3,7,13,17,19,23,29,37,41,43,47,53,59,67,71}),11)=1,1,11-MOD(SUMPRODUCT(VALUE(MID(TEXT(VALUE(IF(ISNUMBER(FIND("-",TEXT(Z2,"@"))),LEFT(TEXT(Z2,"@"),FIND("-",TEXT(Z2,"@"))-1),TEXT(Z2,"@"))),"000000000000000"),{15,14,13,12,11,10,9,8,7,6,5,4,3,2,1},1)),{3,7,13,17,19,23,29,37,41,43,47,53,59,67,71}),11))))))</f>
        <v>N/A</v>
      </c>
      <c r="AB2" s="26">
        <v>82131604</v>
      </c>
      <c r="AC2" s="29">
        <f>O2-M2</f>
        <v>351</v>
      </c>
      <c r="AD2" s="19">
        <v>826</v>
      </c>
      <c r="AE2" s="19">
        <v>2026</v>
      </c>
      <c r="AF2" s="19" t="s">
        <v>39</v>
      </c>
    </row>
    <row r="3" spans="1:32" ht="61.5" customHeight="1" x14ac:dyDescent="0.35">
      <c r="A3" s="1" t="str">
        <f>[1]Contratos!A3</f>
        <v>CONTRATO 02 DE 2026</v>
      </c>
      <c r="B3" s="10" t="str">
        <f>[1]Contratos!B3</f>
        <v xml:space="preserve">ERIK ANDRÉS BARBOSA PARRA  </v>
      </c>
      <c r="C3" s="10" t="str">
        <f>[1]Contratos!E3</f>
        <v>Prestación de servicios profesionales o Apoyo a la gestión</v>
      </c>
      <c r="D3" s="10" t="s">
        <v>40</v>
      </c>
      <c r="E3" s="11" t="str">
        <f>[1]Contratos!F3</f>
        <v>Prestación de servicios profesionales especializados en diseño gráfico y dirección de arte, para apoyar la implementación de la Estrategia de Comunicaciones 2026 de la CRC, mediante la creación de piezas gráficas estáticas y animadas, la diagramación de materiales institucionales y la ejecución de acciones de comunicación interna, externa y digital, entre otras actividades, en articulación con la Coordinación de Relaciones con Grupos de Valor.</v>
      </c>
      <c r="F3" s="12">
        <v>145299786</v>
      </c>
      <c r="G3" s="13">
        <f>[1]Contratos!G3</f>
        <v>145299786</v>
      </c>
      <c r="H3" s="14" t="str">
        <f>IFERROR(VLOOKUP(A3, [1]Otrosí!A:F, 6, FALSE), "0")</f>
        <v>0</v>
      </c>
      <c r="I3" s="13">
        <f t="shared" ref="I3:I66" si="0">SUM(G3:H3)</f>
        <v>145299786</v>
      </c>
      <c r="J3" s="15">
        <v>82125966</v>
      </c>
      <c r="K3" s="13">
        <f t="shared" ref="K3:K66" si="1">I3-J3</f>
        <v>63173820</v>
      </c>
      <c r="L3" s="16">
        <f t="shared" ref="L3:L66" si="2">J3/I3</f>
        <v>0.56521739130434778</v>
      </c>
      <c r="M3" s="17">
        <f>[1]Contratos!O3</f>
        <v>46036</v>
      </c>
      <c r="N3" s="17">
        <f>[1]Contratos!P3</f>
        <v>46038</v>
      </c>
      <c r="O3" s="17">
        <f>[1]Contratos!Q3</f>
        <v>46387</v>
      </c>
      <c r="P3" s="17" t="str">
        <f>IFERROR(VLOOKUP(A3, [1]Otrosí!A:L, 7, FALSE), "N/A")</f>
        <v>N/A</v>
      </c>
      <c r="Q3" s="18" t="s">
        <v>33</v>
      </c>
      <c r="R3" s="19" t="s">
        <v>34</v>
      </c>
      <c r="S3" s="20" t="s">
        <v>41</v>
      </c>
      <c r="T3" s="21" t="s">
        <v>36</v>
      </c>
      <c r="U3" s="10" t="str">
        <f>[1]Contratos!C3</f>
        <v>PN</v>
      </c>
      <c r="V3" s="10" t="str">
        <f>[1]Contratos!I3</f>
        <v>RELACIONES CON GRUPOS DE VALOR</v>
      </c>
      <c r="W3" s="22" t="str">
        <f>[1]Contratos!J3</f>
        <v>MARIANA SARMIENTO</v>
      </c>
      <c r="X3" s="23" cm="1">
        <f t="array" ref="X3">IFERROR(VLOOKUP(W3,[1]COORD!$A$30:$B$66, 2, FALSE),[1]COORD!$B$30:$B$66)</f>
        <v>52862292</v>
      </c>
      <c r="Y3" s="24" t="s">
        <v>37</v>
      </c>
      <c r="Z3" s="25">
        <v>80816060</v>
      </c>
      <c r="AA3" s="26" t="str" cm="1">
        <f t="array" ref="AA3">IF(Y3&lt;&gt;"NIT","N/A",IF(OR(Z3="",Z3="N/A"),"N/A",IF(ISERROR(VALUE(IF(ISNUMBER(FIND("-",TEXT(Z3,"@"))),LEFT(TEXT(Z3,"@"),FIND("-",TEXT(Z3,"@"))-1),TEXT(Z3,"@")))),"N/A",IF(MOD(SUMPRODUCT(VALUE(MID(TEXT(VALUE(IF(ISNUMBER(FIND("-",TEXT(Z3,"@"))),LEFT(TEXT(Z3,"@"),FIND("-",TEXT(Z3,"@"))-1),TEXT(Z3,"@"))),"000000000000000"),{15,14,13,12,11,10,9,8,7,6,5,4,3,2,1},1)),{3,7,13,17,19,23,29,37,41,43,47,53,59,67,71}),11)=0,0,IF(MOD(SUMPRODUCT(VALUE(MID(TEXT(VALUE(IF(ISNUMBER(FIND("-",TEXT(Z3,"@"))),LEFT(TEXT(Z3,"@"),FIND("-",TEXT(Z3,"@"))-1),TEXT(Z3,"@"))),"000000000000000"),{15,14,13,12,11,10,9,8,7,6,5,4,3,2,1},1)),{3,7,13,17,19,23,29,37,41,43,47,53,59,67,71}),11)=1,1,11-MOD(SUMPRODUCT(VALUE(MID(TEXT(VALUE(IF(ISNUMBER(FIND("-",TEXT(Z3,"@"))),LEFT(TEXT(Z3,"@"),FIND("-",TEXT(Z3,"@"))-1),TEXT(Z3,"@"))),"000000000000000"),{15,14,13,12,11,10,9,8,7,6,5,4,3,2,1},1)),{3,7,13,17,19,23,29,37,41,43,47,53,59,67,71}),11))))))</f>
        <v>N/A</v>
      </c>
      <c r="AB3" s="26">
        <v>82141504</v>
      </c>
      <c r="AC3" s="29">
        <f t="shared" ref="AC3:AC66" si="3">O3-M3</f>
        <v>351</v>
      </c>
      <c r="AD3" s="19">
        <v>926</v>
      </c>
      <c r="AE3" s="19">
        <v>2126</v>
      </c>
      <c r="AF3" s="19" t="s">
        <v>39</v>
      </c>
    </row>
    <row r="4" spans="1:32" ht="61.5" customHeight="1" x14ac:dyDescent="0.35">
      <c r="A4" s="1" t="str">
        <f>[1]Contratos!A4</f>
        <v>CONTRATO 03 DE 2026</v>
      </c>
      <c r="B4" s="10" t="str">
        <f>[1]Contratos!B4</f>
        <v>JAVIER ENRIQUE OVALLE BURBANO</v>
      </c>
      <c r="C4" s="10" t="str">
        <f>[1]Contratos!E4</f>
        <v>Prestación de servicios profesionales o Apoyo a la gestión</v>
      </c>
      <c r="D4" s="10" t="s">
        <v>42</v>
      </c>
      <c r="E4" s="11" t="str">
        <f>[1]Contratos!F4</f>
        <v>Brindar apoyo técnico especializado para analizar solicitudes de homologación y emitir conceptos técnicos de viabilidad, en cumplimiento de las directrices establecidas en el Plan de Acción 2026 de la Comisión de Regulación de Comunicaciones, orientado a la homologación de equipos terminales móviles (ETM).</v>
      </c>
      <c r="F4" s="12">
        <v>43103587</v>
      </c>
      <c r="G4" s="13">
        <f>[1]Contratos!G4</f>
        <v>43103587</v>
      </c>
      <c r="H4" s="14" t="str">
        <f>IFERROR(VLOOKUP(A4, [1]Otrosí!A:F, 6, FALSE), "0")</f>
        <v>0</v>
      </c>
      <c r="I4" s="13">
        <f t="shared" si="0"/>
        <v>43103587</v>
      </c>
      <c r="J4" s="15">
        <v>24362897</v>
      </c>
      <c r="K4" s="13">
        <f t="shared" si="1"/>
        <v>18740690</v>
      </c>
      <c r="L4" s="16">
        <f t="shared" si="2"/>
        <v>0.56521739130434778</v>
      </c>
      <c r="M4" s="17">
        <f>[1]Contratos!O4</f>
        <v>46036</v>
      </c>
      <c r="N4" s="17">
        <f>[1]Contratos!P4</f>
        <v>46038</v>
      </c>
      <c r="O4" s="17">
        <f>[1]Contratos!Q4</f>
        <v>46387</v>
      </c>
      <c r="P4" s="17" t="str">
        <f>IFERROR(VLOOKUP(A4, [1]Otrosí!A:L, 7, FALSE), "N/A")</f>
        <v>N/A</v>
      </c>
      <c r="Q4" s="18" t="s">
        <v>33</v>
      </c>
      <c r="R4" s="19" t="s">
        <v>34</v>
      </c>
      <c r="S4" s="20" t="s">
        <v>43</v>
      </c>
      <c r="T4" s="21" t="s">
        <v>36</v>
      </c>
      <c r="U4" s="10" t="str">
        <f>[1]Contratos!C4</f>
        <v>PN</v>
      </c>
      <c r="V4" s="10" t="str">
        <f>[1]Contratos!I4</f>
        <v>RELACIONES CON GRUPOS DE VALOR</v>
      </c>
      <c r="W4" s="22" t="str">
        <f>[1]Contratos!J4</f>
        <v>MARIANA SARMIENTO</v>
      </c>
      <c r="X4" s="23" cm="1">
        <f t="array" ref="X4">IFERROR(VLOOKUP(W4,[1]COORD!$A$30:$B$66, 2, FALSE),[1]COORD!$B$30:$B$66)</f>
        <v>52862292</v>
      </c>
      <c r="Y4" s="24" t="s">
        <v>37</v>
      </c>
      <c r="Z4" s="25">
        <v>1136885834</v>
      </c>
      <c r="AA4" s="26" t="str" cm="1">
        <f t="array" ref="AA4">IF(Y4&lt;&gt;"NIT","N/A",IF(OR(Z4="",Z4="N/A"),"N/A",IF(ISERROR(VALUE(IF(ISNUMBER(FIND("-",TEXT(Z4,"@"))),LEFT(TEXT(Z4,"@"),FIND("-",TEXT(Z4,"@"))-1),TEXT(Z4,"@")))),"N/A",IF(MOD(SUMPRODUCT(VALUE(MID(TEXT(VALUE(IF(ISNUMBER(FIND("-",TEXT(Z4,"@"))),LEFT(TEXT(Z4,"@"),FIND("-",TEXT(Z4,"@"))-1),TEXT(Z4,"@"))),"000000000000000"),{15,14,13,12,11,10,9,8,7,6,5,4,3,2,1},1)),{3,7,13,17,19,23,29,37,41,43,47,53,59,67,71}),11)=0,0,IF(MOD(SUMPRODUCT(VALUE(MID(TEXT(VALUE(IF(ISNUMBER(FIND("-",TEXT(Z4,"@"))),LEFT(TEXT(Z4,"@"),FIND("-",TEXT(Z4,"@"))-1),TEXT(Z4,"@"))),"000000000000000"),{15,14,13,12,11,10,9,8,7,6,5,4,3,2,1},1)),{3,7,13,17,19,23,29,37,41,43,47,53,59,67,71}),11)=1,1,11-MOD(SUMPRODUCT(VALUE(MID(TEXT(VALUE(IF(ISNUMBER(FIND("-",TEXT(Z4,"@"))),LEFT(TEXT(Z4,"@"),FIND("-",TEXT(Z4,"@"))-1),TEXT(Z4,"@"))),"000000000000000"),{15,14,13,12,11,10,9,8,7,6,5,4,3,2,1},1)),{3,7,13,17,19,23,29,37,41,43,47,53,59,67,71}),11))))))</f>
        <v>N/A</v>
      </c>
      <c r="AB4" s="26">
        <v>81111500</v>
      </c>
      <c r="AC4" s="29">
        <f t="shared" si="3"/>
        <v>351</v>
      </c>
      <c r="AD4" s="19">
        <v>1326</v>
      </c>
      <c r="AE4" s="19">
        <v>2226</v>
      </c>
      <c r="AF4" s="19" t="s">
        <v>39</v>
      </c>
    </row>
    <row r="5" spans="1:32" ht="61.5" customHeight="1" x14ac:dyDescent="0.35">
      <c r="A5" s="1" t="str">
        <f>[1]Contratos!A5</f>
        <v>CONTRATO 04 DE 2026</v>
      </c>
      <c r="B5" s="10" t="str">
        <f>[1]Contratos!B5</f>
        <v>JUAN CAMILO PEÑA VERGARA</v>
      </c>
      <c r="C5" s="10" t="str">
        <f>[1]Contratos!E5</f>
        <v>Prestación de servicios profesionales o Apoyo a la gestión</v>
      </c>
      <c r="D5" s="10" t="s">
        <v>44</v>
      </c>
      <c r="E5" s="11" t="str">
        <f>[1]Contratos!F5</f>
        <v>Prestar apoyo profesional especializado en la implementación, ejecución, seguimiento y optimización de la Estrategia de Comunicaciones 2026, mediante la gestión integral de redes sociales y demás canales digitales institucionales, la planificación y producción de contenidos creativos, accesibles y estratégicos, el monitoreo y análisis de indicadores de desempeño digital y la interacción con los diferentes grupos de valor, garantizando la coherencia con los principios de lenguaje claro, comunicación inclusiva, transparencia, participación ciudadana e identidad institucional definidos por la CRC.</v>
      </c>
      <c r="F5" s="12">
        <v>132809947</v>
      </c>
      <c r="G5" s="13">
        <f>[1]Contratos!G5</f>
        <v>132809947</v>
      </c>
      <c r="H5" s="14" t="str">
        <f>IFERROR(VLOOKUP(A5, [1]Otrosí!A:F, 6, FALSE), "0")</f>
        <v>0</v>
      </c>
      <c r="I5" s="13">
        <f t="shared" si="0"/>
        <v>132809947</v>
      </c>
      <c r="J5" s="15">
        <v>75066491</v>
      </c>
      <c r="K5" s="13">
        <f t="shared" si="1"/>
        <v>57743456</v>
      </c>
      <c r="L5" s="16">
        <f t="shared" si="2"/>
        <v>0.56521738541165145</v>
      </c>
      <c r="M5" s="17">
        <f>[1]Contratos!O5</f>
        <v>46036</v>
      </c>
      <c r="N5" s="17">
        <f>[1]Contratos!P5</f>
        <v>46038</v>
      </c>
      <c r="O5" s="17">
        <f>[1]Contratos!Q5</f>
        <v>46387</v>
      </c>
      <c r="P5" s="17" t="str">
        <f>IFERROR(VLOOKUP(A5, [1]Otrosí!A:L, 7, FALSE), "N/A")</f>
        <v>N/A</v>
      </c>
      <c r="Q5" s="18" t="s">
        <v>33</v>
      </c>
      <c r="R5" s="19" t="s">
        <v>34</v>
      </c>
      <c r="S5" s="20" t="s">
        <v>45</v>
      </c>
      <c r="T5" s="21" t="s">
        <v>36</v>
      </c>
      <c r="U5" s="10" t="str">
        <f>[1]Contratos!C5</f>
        <v>PN</v>
      </c>
      <c r="V5" s="10" t="str">
        <f>[1]Contratos!I5</f>
        <v>RELACIONES CON GRUPOS DE VALOR</v>
      </c>
      <c r="W5" s="22" t="str">
        <f>[1]Contratos!J5</f>
        <v>MARIANA SARMIENTO</v>
      </c>
      <c r="X5" s="23" cm="1">
        <f t="array" ref="X5">IFERROR(VLOOKUP(W5,[1]COORD!$A$30:$B$66, 2, FALSE),[1]COORD!$B$30:$B$66)</f>
        <v>52862292</v>
      </c>
      <c r="Y5" s="24" t="s">
        <v>37</v>
      </c>
      <c r="Z5" s="25">
        <v>1014182808</v>
      </c>
      <c r="AA5" s="26" t="str" cm="1">
        <f t="array" ref="AA5">IF(Y5&lt;&gt;"NIT","N/A",IF(OR(Z5="",Z5="N/A"),"N/A",IF(ISERROR(VALUE(IF(ISNUMBER(FIND("-",TEXT(Z5,"@"))),LEFT(TEXT(Z5,"@"),FIND("-",TEXT(Z5,"@"))-1),TEXT(Z5,"@")))),"N/A",IF(MOD(SUMPRODUCT(VALUE(MID(TEXT(VALUE(IF(ISNUMBER(FIND("-",TEXT(Z5,"@"))),LEFT(TEXT(Z5,"@"),FIND("-",TEXT(Z5,"@"))-1),TEXT(Z5,"@"))),"000000000000000"),{15,14,13,12,11,10,9,8,7,6,5,4,3,2,1},1)),{3,7,13,17,19,23,29,37,41,43,47,53,59,67,71}),11)=0,0,IF(MOD(SUMPRODUCT(VALUE(MID(TEXT(VALUE(IF(ISNUMBER(FIND("-",TEXT(Z5,"@"))),LEFT(TEXT(Z5,"@"),FIND("-",TEXT(Z5,"@"))-1),TEXT(Z5,"@"))),"000000000000000"),{15,14,13,12,11,10,9,8,7,6,5,4,3,2,1},1)),{3,7,13,17,19,23,29,37,41,43,47,53,59,67,71}),11)=1,1,11-MOD(SUMPRODUCT(VALUE(MID(TEXT(VALUE(IF(ISNUMBER(FIND("-",TEXT(Z5,"@"))),LEFT(TEXT(Z5,"@"),FIND("-",TEXT(Z5,"@"))-1),TEXT(Z5,"@"))),"000000000000000"),{15,14,13,12,11,10,9,8,7,6,5,4,3,2,1},1)),{3,7,13,17,19,23,29,37,41,43,47,53,59,67,71}),11))))))</f>
        <v>N/A</v>
      </c>
      <c r="AB5" s="26">
        <v>83121703</v>
      </c>
      <c r="AC5" s="29">
        <f t="shared" si="3"/>
        <v>351</v>
      </c>
      <c r="AD5" s="19">
        <v>1026</v>
      </c>
      <c r="AE5" s="19">
        <v>2326</v>
      </c>
      <c r="AF5" s="19" t="s">
        <v>39</v>
      </c>
    </row>
    <row r="6" spans="1:32" ht="61.5" customHeight="1" x14ac:dyDescent="0.35">
      <c r="A6" s="1" t="str">
        <f>[1]Contratos!A6</f>
        <v>CONTRATO 05 DE 2026</v>
      </c>
      <c r="B6" s="10" t="str">
        <f>[1]Contratos!B6</f>
        <v>JUAN MANUEL VELASCO CEPEDA</v>
      </c>
      <c r="C6" s="10" t="str">
        <f>[1]Contratos!E6</f>
        <v>Prestación de servicios profesionales o Apoyo a la gestión</v>
      </c>
      <c r="D6" s="10" t="s">
        <v>46</v>
      </c>
      <c r="E6" s="11" t="str">
        <f>[1]Contratos!F6</f>
        <v>Prestar los servicios profesionales para la administración, actualización y gestión técnica y de contenidos del portal web institucional y demás canales digitales de la Comisión de Regulación de Comunicaciones (CRC), en cumplimiento de la Estrategia de Comunicaciones 2026 y de los lineamientos de accesibilidad, transparencia y gobierno digital.</v>
      </c>
      <c r="F6" s="12">
        <v>128314988</v>
      </c>
      <c r="G6" s="13">
        <f>[1]Contratos!G6</f>
        <v>128314988</v>
      </c>
      <c r="H6" s="14" t="str">
        <f>IFERROR(VLOOKUP(A6, [1]Otrosí!A:F, 6, FALSE), "0")</f>
        <v>0</v>
      </c>
      <c r="I6" s="13">
        <f t="shared" si="0"/>
        <v>128314988</v>
      </c>
      <c r="J6" s="15">
        <v>72525862</v>
      </c>
      <c r="K6" s="13">
        <f t="shared" si="1"/>
        <v>55789126</v>
      </c>
      <c r="L6" s="16">
        <f t="shared" si="2"/>
        <v>0.56521738520522635</v>
      </c>
      <c r="M6" s="17">
        <f>[1]Contratos!O6</f>
        <v>46036</v>
      </c>
      <c r="N6" s="17">
        <f>[1]Contratos!P6</f>
        <v>46038</v>
      </c>
      <c r="O6" s="17">
        <f>[1]Contratos!Q6</f>
        <v>46387</v>
      </c>
      <c r="P6" s="17" t="str">
        <f>IFERROR(VLOOKUP(A6, [1]Otrosí!A:L, 7, FALSE), "N/A")</f>
        <v>N/A</v>
      </c>
      <c r="Q6" s="18" t="s">
        <v>33</v>
      </c>
      <c r="R6" s="19" t="s">
        <v>34</v>
      </c>
      <c r="S6" s="20" t="s">
        <v>47</v>
      </c>
      <c r="T6" s="21" t="s">
        <v>36</v>
      </c>
      <c r="U6" s="10" t="str">
        <f>[1]Contratos!C6</f>
        <v>PN</v>
      </c>
      <c r="V6" s="10" t="str">
        <f>[1]Contratos!I6</f>
        <v>RELACIONES CON GRUPOS DE VALOR</v>
      </c>
      <c r="W6" s="22" t="str">
        <f>[1]Contratos!J6</f>
        <v>MARIANA SARMIENTO</v>
      </c>
      <c r="X6" s="23" cm="1">
        <f t="array" ref="X6">IFERROR(VLOOKUP(W6,[1]COORD!$A$30:$B$66, 2, FALSE),[1]COORD!$B$30:$B$66)</f>
        <v>52862292</v>
      </c>
      <c r="Y6" s="24" t="s">
        <v>37</v>
      </c>
      <c r="Z6" s="25">
        <v>80111868</v>
      </c>
      <c r="AA6" s="26" t="str" cm="1">
        <f t="array" ref="AA6">IF(Y6&lt;&gt;"NIT","N/A",IF(OR(Z6="",Z6="N/A"),"N/A",IF(ISERROR(VALUE(IF(ISNUMBER(FIND("-",TEXT(Z6,"@"))),LEFT(TEXT(Z6,"@"),FIND("-",TEXT(Z6,"@"))-1),TEXT(Z6,"@")))),"N/A",IF(MOD(SUMPRODUCT(VALUE(MID(TEXT(VALUE(IF(ISNUMBER(FIND("-",TEXT(Z6,"@"))),LEFT(TEXT(Z6,"@"),FIND("-",TEXT(Z6,"@"))-1),TEXT(Z6,"@"))),"000000000000000"),{15,14,13,12,11,10,9,8,7,6,5,4,3,2,1},1)),{3,7,13,17,19,23,29,37,41,43,47,53,59,67,71}),11)=0,0,IF(MOD(SUMPRODUCT(VALUE(MID(TEXT(VALUE(IF(ISNUMBER(FIND("-",TEXT(Z6,"@"))),LEFT(TEXT(Z6,"@"),FIND("-",TEXT(Z6,"@"))-1),TEXT(Z6,"@"))),"000000000000000"),{15,14,13,12,11,10,9,8,7,6,5,4,3,2,1},1)),{3,7,13,17,19,23,29,37,41,43,47,53,59,67,71}),11)=1,1,11-MOD(SUMPRODUCT(VALUE(MID(TEXT(VALUE(IF(ISNUMBER(FIND("-",TEXT(Z6,"@"))),LEFT(TEXT(Z6,"@"),FIND("-",TEXT(Z6,"@"))-1),TEXT(Z6,"@"))),"000000000000000"),{15,14,13,12,11,10,9,8,7,6,5,4,3,2,1},1)),{3,7,13,17,19,23,29,37,41,43,47,53,59,67,71}),11))))))</f>
        <v>N/A</v>
      </c>
      <c r="AB6" s="26">
        <v>83121703</v>
      </c>
      <c r="AC6" s="29">
        <f t="shared" si="3"/>
        <v>351</v>
      </c>
      <c r="AD6" s="19">
        <v>1126</v>
      </c>
      <c r="AE6" s="19">
        <v>2426</v>
      </c>
      <c r="AF6" s="19" t="s">
        <v>39</v>
      </c>
    </row>
    <row r="7" spans="1:32" ht="61.5" customHeight="1" x14ac:dyDescent="0.35">
      <c r="A7" s="1" t="str">
        <f>[1]Contratos!A7</f>
        <v>CONTRATO 06 DE 2026</v>
      </c>
      <c r="B7" s="10" t="str">
        <f>[1]Contratos!B7</f>
        <v>SERGIO ANDRÉS BOHÓRQUEZ PERDOMO</v>
      </c>
      <c r="C7" s="10" t="str">
        <f>[1]Contratos!E7</f>
        <v>Prestación de servicios profesionales o Apoyo a la gestión</v>
      </c>
      <c r="D7" s="10" t="s">
        <v>48</v>
      </c>
      <c r="E7" s="11" t="str">
        <f>[1]Contratos!F7</f>
        <v>Prestación de servicios profesionales orientados a brindar soporte técnico para el análisis de solicitudes y apoyar la planeación, atribución, asignación, recuperación, administración y gestión de los recursos de identificación a cargo de la Comisión de Regulación de Comunicaciones (CRC), en cumplimiento de las directrices establecidas en el Plan de Acción 2026.</v>
      </c>
      <c r="F7" s="12">
        <v>50222800</v>
      </c>
      <c r="G7" s="13">
        <f>[1]Contratos!G7</f>
        <v>50222800</v>
      </c>
      <c r="H7" s="14" t="str">
        <f>IFERROR(VLOOKUP(A7, [1]Otrosí!A:F, 6, FALSE), "0")</f>
        <v>0</v>
      </c>
      <c r="I7" s="13">
        <f t="shared" si="0"/>
        <v>50222800</v>
      </c>
      <c r="J7" s="15">
        <v>28386800</v>
      </c>
      <c r="K7" s="13">
        <f t="shared" si="1"/>
        <v>21836000</v>
      </c>
      <c r="L7" s="16">
        <f t="shared" si="2"/>
        <v>0.56521739130434778</v>
      </c>
      <c r="M7" s="17">
        <f>[1]Contratos!O7</f>
        <v>46036</v>
      </c>
      <c r="N7" s="17">
        <f>[1]Contratos!P7</f>
        <v>46038</v>
      </c>
      <c r="O7" s="17">
        <f>[1]Contratos!Q7</f>
        <v>46387</v>
      </c>
      <c r="P7" s="17" t="str">
        <f>IFERROR(VLOOKUP(A7, [1]Otrosí!A:L, 7, FALSE), "N/A")</f>
        <v>N/A</v>
      </c>
      <c r="Q7" s="18" t="s">
        <v>33</v>
      </c>
      <c r="R7" s="19" t="s">
        <v>34</v>
      </c>
      <c r="S7" s="20" t="s">
        <v>49</v>
      </c>
      <c r="T7" s="21" t="s">
        <v>36</v>
      </c>
      <c r="U7" s="10" t="str">
        <f>[1]Contratos!C7</f>
        <v>PN</v>
      </c>
      <c r="V7" s="10" t="str">
        <f>[1]Contratos!I7</f>
        <v>RELACIONES CON GRUPOS DE VALOR</v>
      </c>
      <c r="W7" s="22" t="str">
        <f>[1]Contratos!J7</f>
        <v>MARIANA SARMIENTO</v>
      </c>
      <c r="X7" s="23" cm="1">
        <f t="array" ref="X7">IFERROR(VLOOKUP(W7,[1]COORD!$A$30:$B$66, 2, FALSE),[1]COORD!$B$30:$B$66)</f>
        <v>52862292</v>
      </c>
      <c r="Y7" s="24" t="s">
        <v>37</v>
      </c>
      <c r="Z7" s="25">
        <v>1019074760</v>
      </c>
      <c r="AA7" s="26" t="str" cm="1">
        <f t="array" ref="AA7">IF(Y7&lt;&gt;"NIT","N/A",IF(OR(Z7="",Z7="N/A"),"N/A",IF(ISERROR(VALUE(IF(ISNUMBER(FIND("-",TEXT(Z7,"@"))),LEFT(TEXT(Z7,"@"),FIND("-",TEXT(Z7,"@"))-1),TEXT(Z7,"@")))),"N/A",IF(MOD(SUMPRODUCT(VALUE(MID(TEXT(VALUE(IF(ISNUMBER(FIND("-",TEXT(Z7,"@"))),LEFT(TEXT(Z7,"@"),FIND("-",TEXT(Z7,"@"))-1),TEXT(Z7,"@"))),"000000000000000"),{15,14,13,12,11,10,9,8,7,6,5,4,3,2,1},1)),{3,7,13,17,19,23,29,37,41,43,47,53,59,67,71}),11)=0,0,IF(MOD(SUMPRODUCT(VALUE(MID(TEXT(VALUE(IF(ISNUMBER(FIND("-",TEXT(Z7,"@"))),LEFT(TEXT(Z7,"@"),FIND("-",TEXT(Z7,"@"))-1),TEXT(Z7,"@"))),"000000000000000"),{15,14,13,12,11,10,9,8,7,6,5,4,3,2,1},1)),{3,7,13,17,19,23,29,37,41,43,47,53,59,67,71}),11)=1,1,11-MOD(SUMPRODUCT(VALUE(MID(TEXT(VALUE(IF(ISNUMBER(FIND("-",TEXT(Z7,"@"))),LEFT(TEXT(Z7,"@"),FIND("-",TEXT(Z7,"@"))-1),TEXT(Z7,"@"))),"000000000000000"),{15,14,13,12,11,10,9,8,7,6,5,4,3,2,1},1)),{3,7,13,17,19,23,29,37,41,43,47,53,59,67,71}),11))))))</f>
        <v>N/A</v>
      </c>
      <c r="AB7" s="26">
        <v>81161700</v>
      </c>
      <c r="AC7" s="29">
        <f t="shared" si="3"/>
        <v>351</v>
      </c>
      <c r="AD7" s="19">
        <v>1226</v>
      </c>
      <c r="AE7" s="19">
        <v>2526</v>
      </c>
      <c r="AF7" s="19" t="s">
        <v>39</v>
      </c>
    </row>
    <row r="8" spans="1:32" ht="61.5" customHeight="1" x14ac:dyDescent="0.35">
      <c r="A8" s="1" t="str">
        <f>[1]Contratos!A8</f>
        <v>CONTRATO 07 DE 2026</v>
      </c>
      <c r="B8" s="10" t="str">
        <f>[1]Contratos!B8</f>
        <v>DIEGO ALEJANDRO DURÁN ESPITIA</v>
      </c>
      <c r="C8" s="10" t="str">
        <f>[1]Contratos!E8</f>
        <v>Prestación de servicios profesionales o Apoyo a la gestión</v>
      </c>
      <c r="D8" s="10" t="s">
        <v>50</v>
      </c>
      <c r="E8" s="11" t="str">
        <f>[1]Contratos!F8</f>
        <v>Prestar apoyo profesional a la Coordinación de Relaciones con Grupos de Valor, orientado al fortalecimiento de la Estrategia de Servicio al Ciudadano, la racionalización de trámites y la mejora continua en la atención y satisfacción de los grupos de valor de la Comisión de Regulación de Comunicaciones –CRC–. Para ello, desarrollará actividades relacionadas con el seguimiento y gestión de solicitudes, consultas y trámites, el monitoreo de la operación del Centro de Contacto, la elaboración de planes de emisión de espacios institucionales, en concordancia con los procedimientos y lineamientos vigentes.</v>
      </c>
      <c r="F8" s="12">
        <v>70575592</v>
      </c>
      <c r="G8" s="13">
        <f>[1]Contratos!G8</f>
        <v>70575592</v>
      </c>
      <c r="H8" s="14" t="str">
        <f>IFERROR(VLOOKUP(A8, [1]Otrosí!A:F, 6, FALSE), "0")</f>
        <v>0</v>
      </c>
      <c r="I8" s="13">
        <f t="shared" si="0"/>
        <v>70575592</v>
      </c>
      <c r="J8" s="15">
        <v>39890552</v>
      </c>
      <c r="K8" s="13">
        <f t="shared" si="1"/>
        <v>30685040</v>
      </c>
      <c r="L8" s="16">
        <f t="shared" si="2"/>
        <v>0.56521739130434778</v>
      </c>
      <c r="M8" s="17">
        <f>[1]Contratos!O8</f>
        <v>46036</v>
      </c>
      <c r="N8" s="17">
        <f>[1]Contratos!P8</f>
        <v>46038</v>
      </c>
      <c r="O8" s="17">
        <f>[1]Contratos!Q8</f>
        <v>46387</v>
      </c>
      <c r="P8" s="17" t="str">
        <f>IFERROR(VLOOKUP(A8, [1]Otrosí!A:L, 7, FALSE), "N/A")</f>
        <v>N/A</v>
      </c>
      <c r="Q8" s="18" t="s">
        <v>33</v>
      </c>
      <c r="R8" s="19" t="s">
        <v>34</v>
      </c>
      <c r="S8" s="20" t="s">
        <v>51</v>
      </c>
      <c r="T8" s="21" t="s">
        <v>36</v>
      </c>
      <c r="U8" s="10" t="str">
        <f>[1]Contratos!C8</f>
        <v>PN</v>
      </c>
      <c r="V8" s="10" t="str">
        <f>[1]Contratos!I8</f>
        <v>RELACIONES CON GRUPOS DE VALOR</v>
      </c>
      <c r="W8" s="22" t="str">
        <f>[1]Contratos!J8</f>
        <v>MARIANA SARMIENTO</v>
      </c>
      <c r="X8" s="23" cm="1">
        <f t="array" ref="X8">IFERROR(VLOOKUP(W8,[1]COORD!$A$30:$B$66, 2, FALSE),[1]COORD!$B$30:$B$66)</f>
        <v>52862292</v>
      </c>
      <c r="Y8" s="24" t="s">
        <v>37</v>
      </c>
      <c r="Z8" s="25">
        <v>1010024899</v>
      </c>
      <c r="AA8" s="26" t="str" cm="1">
        <f t="array" ref="AA8">IF(Y8&lt;&gt;"NIT","N/A",IF(OR(Z8="",Z8="N/A"),"N/A",IF(ISERROR(VALUE(IF(ISNUMBER(FIND("-",TEXT(Z8,"@"))),LEFT(TEXT(Z8,"@"),FIND("-",TEXT(Z8,"@"))-1),TEXT(Z8,"@")))),"N/A",IF(MOD(SUMPRODUCT(VALUE(MID(TEXT(VALUE(IF(ISNUMBER(FIND("-",TEXT(Z8,"@"))),LEFT(TEXT(Z8,"@"),FIND("-",TEXT(Z8,"@"))-1),TEXT(Z8,"@"))),"000000000000000"),{15,14,13,12,11,10,9,8,7,6,5,4,3,2,1},1)),{3,7,13,17,19,23,29,37,41,43,47,53,59,67,71}),11)=0,0,IF(MOD(SUMPRODUCT(VALUE(MID(TEXT(VALUE(IF(ISNUMBER(FIND("-",TEXT(Z8,"@"))),LEFT(TEXT(Z8,"@"),FIND("-",TEXT(Z8,"@"))-1),TEXT(Z8,"@"))),"000000000000000"),{15,14,13,12,11,10,9,8,7,6,5,4,3,2,1},1)),{3,7,13,17,19,23,29,37,41,43,47,53,59,67,71}),11)=1,1,11-MOD(SUMPRODUCT(VALUE(MID(TEXT(VALUE(IF(ISNUMBER(FIND("-",TEXT(Z8,"@"))),LEFT(TEXT(Z8,"@"),FIND("-",TEXT(Z8,"@"))-1),TEXT(Z8,"@"))),"000000000000000"),{15,14,13,12,11,10,9,8,7,6,5,4,3,2,1},1)),{3,7,13,17,19,23,29,37,41,43,47,53,59,67,71}),11))))))</f>
        <v>N/A</v>
      </c>
      <c r="AB8" s="26">
        <v>80161500</v>
      </c>
      <c r="AC8" s="29">
        <f t="shared" si="3"/>
        <v>351</v>
      </c>
      <c r="AD8" s="19">
        <v>726</v>
      </c>
      <c r="AE8" s="19">
        <v>3326</v>
      </c>
      <c r="AF8" s="19" t="s">
        <v>39</v>
      </c>
    </row>
    <row r="9" spans="1:32" ht="61.5" customHeight="1" x14ac:dyDescent="0.35">
      <c r="A9" s="1" t="str">
        <f>[1]Contratos!A9</f>
        <v>CONTRATO 08 DE 2026</v>
      </c>
      <c r="B9" s="10" t="str">
        <f>[1]Contratos!B9</f>
        <v>JULIÁN DAVID ZULUAGA TORRES</v>
      </c>
      <c r="C9" s="10" t="str">
        <f>[1]Contratos!E9</f>
        <v>Prestación de servicios profesionales o Apoyo a la gestión</v>
      </c>
      <c r="D9" s="10" t="s">
        <v>52</v>
      </c>
      <c r="E9" s="11" t="str">
        <f>[1]Contratos!F9</f>
        <v>Prestar servicios profesionales especializados a la Comisión de Regulación de Comunicaciones (CRC) para la consolidación, fortalecimiento y gestión integral de la estrategia de cooperación nacional e internacional y de alianzas estratégicas, mediante la identificación, formulación, seguimiento y evaluación de iniciativas y proyectos de cooperación técnica, así como el acompañamiento en la gestión de relaciones institucionales y la preparación de información técnica que contribuya al posicionamiento de la CRC como referente regulatorio a nivel nacional e internacional.</v>
      </c>
      <c r="F9" s="12">
        <v>165830000</v>
      </c>
      <c r="G9" s="13">
        <f>[1]Contratos!G9</f>
        <v>165830000</v>
      </c>
      <c r="H9" s="14" t="str">
        <f>IFERROR(VLOOKUP(A9, [1]Otrosí!A:F, 6, FALSE), "0")</f>
        <v>0</v>
      </c>
      <c r="I9" s="13">
        <f t="shared" si="0"/>
        <v>165830000</v>
      </c>
      <c r="J9" s="15">
        <v>93730000</v>
      </c>
      <c r="K9" s="13">
        <f t="shared" si="1"/>
        <v>72100000</v>
      </c>
      <c r="L9" s="16">
        <f t="shared" si="2"/>
        <v>0.56521739130434778</v>
      </c>
      <c r="M9" s="17">
        <f>[1]Contratos!O9</f>
        <v>46036</v>
      </c>
      <c r="N9" s="17">
        <f>[1]Contratos!P9</f>
        <v>46038</v>
      </c>
      <c r="O9" s="17">
        <f>[1]Contratos!Q9</f>
        <v>46387</v>
      </c>
      <c r="P9" s="17" t="str">
        <f>IFERROR(VLOOKUP(A9, [1]Otrosí!A:L, 7, FALSE), "N/A")</f>
        <v>N/A</v>
      </c>
      <c r="Q9" s="18" t="s">
        <v>33</v>
      </c>
      <c r="R9" s="19" t="s">
        <v>34</v>
      </c>
      <c r="S9" s="20" t="s">
        <v>53</v>
      </c>
      <c r="T9" s="21" t="s">
        <v>36</v>
      </c>
      <c r="U9" s="10" t="str">
        <f>[1]Contratos!C9</f>
        <v>PN</v>
      </c>
      <c r="V9" s="10" t="str">
        <f>[1]Contratos!I9</f>
        <v>RELACIONES CON GRUPOS DE VALOR</v>
      </c>
      <c r="W9" s="22" t="str">
        <f>[1]Contratos!J9</f>
        <v>MARIANA SARMIENTO</v>
      </c>
      <c r="X9" s="23" cm="1">
        <f t="array" ref="X9">IFERROR(VLOOKUP(W9,[1]COORD!$A$30:$B$66, 2, FALSE),[1]COORD!$B$30:$B$66)</f>
        <v>52862292</v>
      </c>
      <c r="Y9" s="24" t="s">
        <v>37</v>
      </c>
      <c r="Z9" s="25">
        <v>1032359364</v>
      </c>
      <c r="AA9" s="26" t="str" cm="1">
        <f t="array" ref="AA9">IF(Y9&lt;&gt;"NIT","N/A",IF(OR(Z9="",Z9="N/A"),"N/A",IF(ISERROR(VALUE(IF(ISNUMBER(FIND("-",TEXT(Z9,"@"))),LEFT(TEXT(Z9,"@"),FIND("-",TEXT(Z9,"@"))-1),TEXT(Z9,"@")))),"N/A",IF(MOD(SUMPRODUCT(VALUE(MID(TEXT(VALUE(IF(ISNUMBER(FIND("-",TEXT(Z9,"@"))),LEFT(TEXT(Z9,"@"),FIND("-",TEXT(Z9,"@"))-1),TEXT(Z9,"@"))),"000000000000000"),{15,14,13,12,11,10,9,8,7,6,5,4,3,2,1},1)),{3,7,13,17,19,23,29,37,41,43,47,53,59,67,71}),11)=0,0,IF(MOD(SUMPRODUCT(VALUE(MID(TEXT(VALUE(IF(ISNUMBER(FIND("-",TEXT(Z9,"@"))),LEFT(TEXT(Z9,"@"),FIND("-",TEXT(Z9,"@"))-1),TEXT(Z9,"@"))),"000000000000000"),{15,14,13,12,11,10,9,8,7,6,5,4,3,2,1},1)),{3,7,13,17,19,23,29,37,41,43,47,53,59,67,71}),11)=1,1,11-MOD(SUMPRODUCT(VALUE(MID(TEXT(VALUE(IF(ISNUMBER(FIND("-",TEXT(Z9,"@"))),LEFT(TEXT(Z9,"@"),FIND("-",TEXT(Z9,"@"))-1),TEXT(Z9,"@"))),"000000000000000"),{15,14,13,12,11,10,9,8,7,6,5,4,3,2,1},1)),{3,7,13,17,19,23,29,37,41,43,47,53,59,67,71}),11))))))</f>
        <v>N/A</v>
      </c>
      <c r="AB9" s="26">
        <v>80101505</v>
      </c>
      <c r="AC9" s="29">
        <f t="shared" si="3"/>
        <v>351</v>
      </c>
      <c r="AD9" s="19">
        <v>3526</v>
      </c>
      <c r="AE9" s="19">
        <v>2626</v>
      </c>
      <c r="AF9" s="19" t="s">
        <v>39</v>
      </c>
    </row>
    <row r="10" spans="1:32" ht="61.5" customHeight="1" x14ac:dyDescent="0.35">
      <c r="A10" s="1" t="str">
        <f>[1]Contratos!A10</f>
        <v>CONTRATO 09 DE 2026</v>
      </c>
      <c r="B10" s="10" t="str">
        <f>[1]Contratos!B10</f>
        <v>KAREM JULIETH MOLINA SANTANA</v>
      </c>
      <c r="C10" s="10" t="str">
        <f>[1]Contratos!E10</f>
        <v>Prestación de servicios profesionales o Apoyo a la gestión</v>
      </c>
      <c r="D10" s="10" t="s">
        <v>54</v>
      </c>
      <c r="E10" s="11" t="str">
        <f>[1]Contratos!F10</f>
        <v>Prestar apoyo técnico a la Coordinación de Gestión Administrativa y Financiera en el desarrollo de actividades operativas y administrativas, incluyendo la atención en la recepción institucional, la canalización de correspondencia y el soporte en procesos internos de Gestión Ambiental, bienes y servicios, ejecutadas de manera autónoma, sin subordinación ni vínculo laboral con la entidad</v>
      </c>
      <c r="F10" s="12">
        <v>44132375</v>
      </c>
      <c r="G10" s="13">
        <f>[1]Contratos!G10</f>
        <v>44132375</v>
      </c>
      <c r="H10" s="14" t="str">
        <f>IFERROR(VLOOKUP(A10, [1]Otrosí!A:F, 6, FALSE), "0")</f>
        <v>0</v>
      </c>
      <c r="I10" s="13">
        <f t="shared" si="0"/>
        <v>44132375</v>
      </c>
      <c r="J10" s="15">
        <v>24840222</v>
      </c>
      <c r="K10" s="13">
        <f t="shared" si="1"/>
        <v>19292153</v>
      </c>
      <c r="L10" s="16">
        <f t="shared" si="2"/>
        <v>0.56285713152759176</v>
      </c>
      <c r="M10" s="17">
        <f>[1]Contratos!O10</f>
        <v>46030</v>
      </c>
      <c r="N10" s="17">
        <f>[1]Contratos!P10</f>
        <v>46036</v>
      </c>
      <c r="O10" s="17">
        <f>[1]Contratos!Q10</f>
        <v>46387</v>
      </c>
      <c r="P10" s="17" t="str">
        <f>IFERROR(VLOOKUP(A10, [1]Otrosí!A:L, 7, FALSE), "N/A")</f>
        <v>N/A</v>
      </c>
      <c r="Q10" s="18" t="s">
        <v>33</v>
      </c>
      <c r="R10" s="19" t="s">
        <v>55</v>
      </c>
      <c r="S10" s="20" t="s">
        <v>56</v>
      </c>
      <c r="T10" s="21" t="s">
        <v>36</v>
      </c>
      <c r="U10" s="10" t="str">
        <f>[1]Contratos!C10</f>
        <v>PN</v>
      </c>
      <c r="V10" s="10" t="str">
        <f>[1]Contratos!I10</f>
        <v>GESTIÓN ADM. Y FIN</v>
      </c>
      <c r="W10" s="22" t="str">
        <f>[1]Contratos!J10</f>
        <v>DIANA WILCHES</v>
      </c>
      <c r="X10" s="23" cm="1">
        <f t="array" ref="X10">IFERROR(VLOOKUP(W10,[1]COORD!$A$30:$B$66, 2, FALSE),[1]COORD!$B$30:$B$66)</f>
        <v>40049758</v>
      </c>
      <c r="Y10" s="24" t="s">
        <v>37</v>
      </c>
      <c r="Z10" s="25">
        <v>1014180931</v>
      </c>
      <c r="AA10" s="26" t="str" cm="1">
        <f t="array" ref="AA10">IF(Y10&lt;&gt;"NIT","N/A",IF(OR(Z10="",Z10="N/A"),"N/A",IF(ISERROR(VALUE(IF(ISNUMBER(FIND("-",TEXT(Z10,"@"))),LEFT(TEXT(Z10,"@"),FIND("-",TEXT(Z10,"@"))-1),TEXT(Z10,"@")))),"N/A",IF(MOD(SUMPRODUCT(VALUE(MID(TEXT(VALUE(IF(ISNUMBER(FIND("-",TEXT(Z10,"@"))),LEFT(TEXT(Z10,"@"),FIND("-",TEXT(Z10,"@"))-1),TEXT(Z10,"@"))),"000000000000000"),{15,14,13,12,11,10,9,8,7,6,5,4,3,2,1},1)),{3,7,13,17,19,23,29,37,41,43,47,53,59,67,71}),11)=0,0,IF(MOD(SUMPRODUCT(VALUE(MID(TEXT(VALUE(IF(ISNUMBER(FIND("-",TEXT(Z10,"@"))),LEFT(TEXT(Z10,"@"),FIND("-",TEXT(Z10,"@"))-1),TEXT(Z10,"@"))),"000000000000000"),{15,14,13,12,11,10,9,8,7,6,5,4,3,2,1},1)),{3,7,13,17,19,23,29,37,41,43,47,53,59,67,71}),11)=1,1,11-MOD(SUMPRODUCT(VALUE(MID(TEXT(VALUE(IF(ISNUMBER(FIND("-",TEXT(Z10,"@"))),LEFT(TEXT(Z10,"@"),FIND("-",TEXT(Z10,"@"))-1),TEXT(Z10,"@"))),"000000000000000"),{15,14,13,12,11,10,9,8,7,6,5,4,3,2,1},1)),{3,7,13,17,19,23,29,37,41,43,47,53,59,67,71}),11))))))</f>
        <v>N/A</v>
      </c>
      <c r="AB10" s="26">
        <v>80111601</v>
      </c>
      <c r="AC10" s="29">
        <f t="shared" si="3"/>
        <v>357</v>
      </c>
      <c r="AD10" s="19">
        <v>1626</v>
      </c>
      <c r="AE10" s="19">
        <v>1626</v>
      </c>
      <c r="AF10" s="19" t="s">
        <v>39</v>
      </c>
    </row>
    <row r="11" spans="1:32" ht="61.5" customHeight="1" x14ac:dyDescent="0.35">
      <c r="A11" s="1" t="str">
        <f>[1]Contratos!A11</f>
        <v>CONTRATO 10 DE 2026</v>
      </c>
      <c r="B11" s="10" t="str">
        <f>[1]Contratos!B11</f>
        <v>CAROLINA GONZALEZ</v>
      </c>
      <c r="C11" s="10" t="str">
        <f>[1]Contratos!E11</f>
        <v>Prestación de servicios profesionales o Apoyo a la gestión</v>
      </c>
      <c r="D11" s="10" t="s">
        <v>57</v>
      </c>
      <c r="E11" s="11" t="str">
        <f>[1]Contratos!F11</f>
        <v>Prestar apoyo técnico a la Coordinación de Gestión Administrativa y Financiera en el desarrollo de actividades operativas y administrativas, incluyendo la atención en la recepción institucional, la canalización de correspondencia y el soporte en procesos internos de Talento Humano. ejecutadas de manera autónoma, sin subordinación ni vínculo laboral con la entidad.</v>
      </c>
      <c r="F11" s="12">
        <v>44132375</v>
      </c>
      <c r="G11" s="13">
        <f>[1]Contratos!G11</f>
        <v>44132375</v>
      </c>
      <c r="H11" s="14" t="str">
        <f>IFERROR(VLOOKUP(A11, [1]Otrosí!A:F, 6, FALSE), "0")</f>
        <v>0</v>
      </c>
      <c r="I11" s="13">
        <f t="shared" si="0"/>
        <v>44132375</v>
      </c>
      <c r="J11" s="15">
        <v>24966315</v>
      </c>
      <c r="K11" s="13">
        <f t="shared" si="1"/>
        <v>19166060</v>
      </c>
      <c r="L11" s="16">
        <f t="shared" si="2"/>
        <v>0.56571428571428573</v>
      </c>
      <c r="M11" s="17">
        <f>[1]Contratos!O11</f>
        <v>46030</v>
      </c>
      <c r="N11" s="17">
        <f>[1]Contratos!P11</f>
        <v>46035</v>
      </c>
      <c r="O11" s="17">
        <f>[1]Contratos!Q11</f>
        <v>46387</v>
      </c>
      <c r="P11" s="17" t="str">
        <f>IFERROR(VLOOKUP(A11, [1]Otrosí!A:L, 7, FALSE), "N/A")</f>
        <v>N/A</v>
      </c>
      <c r="Q11" s="18" t="s">
        <v>33</v>
      </c>
      <c r="R11" s="19" t="s">
        <v>55</v>
      </c>
      <c r="S11" s="31" t="s">
        <v>58</v>
      </c>
      <c r="T11" s="21" t="s">
        <v>36</v>
      </c>
      <c r="U11" s="10" t="str">
        <f>[1]Contratos!C11</f>
        <v>PN</v>
      </c>
      <c r="V11" s="10" t="str">
        <f>[1]Contratos!I11</f>
        <v>GESTIÓN ADM. Y FIN</v>
      </c>
      <c r="W11" s="22" t="str">
        <f>[1]Contratos!J11</f>
        <v>DIANA WILCHES</v>
      </c>
      <c r="X11" s="23" cm="1">
        <f t="array" ref="X11">IFERROR(VLOOKUP(W11,[1]COORD!$A$30:$B$66, 2, FALSE),[1]COORD!$B$30:$B$66)</f>
        <v>40049758</v>
      </c>
      <c r="Y11" s="24" t="s">
        <v>37</v>
      </c>
      <c r="Z11" s="25">
        <v>52250896</v>
      </c>
      <c r="AA11" s="26" t="str" cm="1">
        <f t="array" ref="AA11">IF(Y11&lt;&gt;"NIT","N/A",IF(OR(Z11="",Z11="N/A"),"N/A",IF(ISERROR(VALUE(IF(ISNUMBER(FIND("-",TEXT(Z11,"@"))),LEFT(TEXT(Z11,"@"),FIND("-",TEXT(Z11,"@"))-1),TEXT(Z11,"@")))),"N/A",IF(MOD(SUMPRODUCT(VALUE(MID(TEXT(VALUE(IF(ISNUMBER(FIND("-",TEXT(Z11,"@"))),LEFT(TEXT(Z11,"@"),FIND("-",TEXT(Z11,"@"))-1),TEXT(Z11,"@"))),"000000000000000"),{15,14,13,12,11,10,9,8,7,6,5,4,3,2,1},1)),{3,7,13,17,19,23,29,37,41,43,47,53,59,67,71}),11)=0,0,IF(MOD(SUMPRODUCT(VALUE(MID(TEXT(VALUE(IF(ISNUMBER(FIND("-",TEXT(Z11,"@"))),LEFT(TEXT(Z11,"@"),FIND("-",TEXT(Z11,"@"))-1),TEXT(Z11,"@"))),"000000000000000"),{15,14,13,12,11,10,9,8,7,6,5,4,3,2,1},1)),{3,7,13,17,19,23,29,37,41,43,47,53,59,67,71}),11)=1,1,11-MOD(SUMPRODUCT(VALUE(MID(TEXT(VALUE(IF(ISNUMBER(FIND("-",TEXT(Z11,"@"))),LEFT(TEXT(Z11,"@"),FIND("-",TEXT(Z11,"@"))-1),TEXT(Z11,"@"))),"000000000000000"),{15,14,13,12,11,10,9,8,7,6,5,4,3,2,1},1)),{3,7,13,17,19,23,29,37,41,43,47,53,59,67,71}),11))))))</f>
        <v>N/A</v>
      </c>
      <c r="AB11" s="26">
        <v>80111601</v>
      </c>
      <c r="AC11" s="29">
        <f t="shared" si="3"/>
        <v>357</v>
      </c>
      <c r="AD11" s="19">
        <v>1526</v>
      </c>
      <c r="AE11" s="19">
        <v>1726</v>
      </c>
      <c r="AF11" s="19" t="s">
        <v>39</v>
      </c>
    </row>
    <row r="12" spans="1:32" ht="61.5" customHeight="1" x14ac:dyDescent="0.35">
      <c r="A12" s="1" t="str">
        <f>[1]Contratos!A12</f>
        <v>CONTRATO 11 DE 2026</v>
      </c>
      <c r="B12" s="10" t="s">
        <v>59</v>
      </c>
      <c r="C12" s="10" t="str">
        <f>[1]Contratos!E12</f>
        <v>Prestación de servicios profesionales o Apoyo a la gestión</v>
      </c>
      <c r="D12" s="10" t="s">
        <v>60</v>
      </c>
      <c r="E12" s="11" t="str">
        <f>[1]Contratos!F12</f>
        <v>Prestar apoyo a la Coordinación de Gestión Administrativa y Financiera en la ejecución eficiente de actividades operativas y logísticas relacionadas con el proceso de Gestión Documental de la CRC, con el propósito de fortalecer el cumplimiento oportuno de las funciones asignadas y atender otras necesidades que surjan en el marco de la Gestión documental de la entidad.</v>
      </c>
      <c r="F12" s="12">
        <v>43501912.5</v>
      </c>
      <c r="G12" s="13">
        <f>[1]Contratos!G12</f>
        <v>43501912.5</v>
      </c>
      <c r="H12" s="14" t="str">
        <f>IFERROR(VLOOKUP(A12, [1]Otrosí!A:F, 6, FALSE), "0")</f>
        <v>0</v>
      </c>
      <c r="I12" s="13">
        <f t="shared" si="0"/>
        <v>43501912.5</v>
      </c>
      <c r="J12" s="15">
        <v>24588037</v>
      </c>
      <c r="K12" s="13">
        <f t="shared" si="1"/>
        <v>18913875.5</v>
      </c>
      <c r="L12" s="16">
        <f t="shared" si="2"/>
        <v>0.56521737981060027</v>
      </c>
      <c r="M12" s="17">
        <f>[1]Contratos!O12</f>
        <v>46036</v>
      </c>
      <c r="N12" s="17">
        <f>[1]Contratos!P12</f>
        <v>46038</v>
      </c>
      <c r="O12" s="17">
        <f>[1]Contratos!Q12</f>
        <v>46387</v>
      </c>
      <c r="P12" s="17" t="str">
        <f>IFERROR(VLOOKUP(A12, [1]Otrosí!A:L, 7, FALSE), "N/A")</f>
        <v>N/A</v>
      </c>
      <c r="Q12" s="18" t="s">
        <v>33</v>
      </c>
      <c r="R12" s="19" t="s">
        <v>55</v>
      </c>
      <c r="S12" s="20" t="s">
        <v>61</v>
      </c>
      <c r="T12" s="21" t="s">
        <v>36</v>
      </c>
      <c r="U12" s="10" t="str">
        <f>[1]Contratos!C12</f>
        <v>PN</v>
      </c>
      <c r="V12" s="10" t="str">
        <f>[1]Contratos!I12</f>
        <v>GESTIÓN ADM. Y FIN</v>
      </c>
      <c r="W12" s="22" t="str">
        <f>[1]Contratos!J12</f>
        <v>DIANA WILCHES</v>
      </c>
      <c r="X12" s="23" cm="1">
        <f t="array" ref="X12">IFERROR(VLOOKUP(W12,[1]COORD!$A$30:$B$66, 2, FALSE),[1]COORD!$B$30:$B$66)</f>
        <v>40049758</v>
      </c>
      <c r="Y12" s="24" t="s">
        <v>37</v>
      </c>
      <c r="Z12" s="25">
        <v>1033819555</v>
      </c>
      <c r="AA12" s="26" t="str" cm="1">
        <f t="array" ref="AA12">IF(Y12&lt;&gt;"NIT","N/A",IF(OR(Z12="",Z12="N/A"),"N/A",IF(ISERROR(VALUE(IF(ISNUMBER(FIND("-",TEXT(Z12,"@"))),LEFT(TEXT(Z12,"@"),FIND("-",TEXT(Z12,"@"))-1),TEXT(Z12,"@")))),"N/A",IF(MOD(SUMPRODUCT(VALUE(MID(TEXT(VALUE(IF(ISNUMBER(FIND("-",TEXT(Z12,"@"))),LEFT(TEXT(Z12,"@"),FIND("-",TEXT(Z12,"@"))-1),TEXT(Z12,"@"))),"000000000000000"),{15,14,13,12,11,10,9,8,7,6,5,4,3,2,1},1)),{3,7,13,17,19,23,29,37,41,43,47,53,59,67,71}),11)=0,0,IF(MOD(SUMPRODUCT(VALUE(MID(TEXT(VALUE(IF(ISNUMBER(FIND("-",TEXT(Z12,"@"))),LEFT(TEXT(Z12,"@"),FIND("-",TEXT(Z12,"@"))-1),TEXT(Z12,"@"))),"000000000000000"),{15,14,13,12,11,10,9,8,7,6,5,4,3,2,1},1)),{3,7,13,17,19,23,29,37,41,43,47,53,59,67,71}),11)=1,1,11-MOD(SUMPRODUCT(VALUE(MID(TEXT(VALUE(IF(ISNUMBER(FIND("-",TEXT(Z12,"@"))),LEFT(TEXT(Z12,"@"),FIND("-",TEXT(Z12,"@"))-1),TEXT(Z12,"@"))),"000000000000000"),{15,14,13,12,11,10,9,8,7,6,5,4,3,2,1},1)),{3,7,13,17,19,23,29,37,41,43,47,53,59,67,71}),11))))))</f>
        <v>N/A</v>
      </c>
      <c r="AB12" s="26">
        <v>80111601</v>
      </c>
      <c r="AC12" s="29">
        <f t="shared" si="3"/>
        <v>351</v>
      </c>
      <c r="AD12" s="19">
        <v>1826</v>
      </c>
      <c r="AE12" s="19">
        <v>3126</v>
      </c>
      <c r="AF12" s="19" t="s">
        <v>39</v>
      </c>
    </row>
    <row r="13" spans="1:32" ht="61.5" customHeight="1" x14ac:dyDescent="0.35">
      <c r="A13" s="1" t="str">
        <f>[1]Contratos!A13</f>
        <v>CONTRATO 12 DE 2026</v>
      </c>
      <c r="B13" s="10" t="str">
        <f>[1]Contratos!B13</f>
        <v>NICOLAS MATEO GOMEZ BUSTAMANTE</v>
      </c>
      <c r="C13" s="10" t="str">
        <f>[1]Contratos!E13</f>
        <v>Prestación de servicios profesionales o Apoyo a la gestión</v>
      </c>
      <c r="D13" s="10" t="s">
        <v>62</v>
      </c>
      <c r="E13" s="11" t="str">
        <f>[1]Contratos!F13</f>
        <v>Prestar servicios profesionales para apoyar y asesorar las acciones relacionadas con la Gestión Ambiental de la CRC, incluyendo actividades de medición, seguimiento y evaluación de indicadores ambientales, así como acompañamiento en la actualización, implementación y gestión de la Política Ambiental y los Objetivos Ambientales institucionales, en coherencia con los planes, programas y metas definidos por la entidad para el año 2026</v>
      </c>
      <c r="F13" s="12">
        <v>62778500</v>
      </c>
      <c r="G13" s="13">
        <f>[1]Contratos!G13</f>
        <v>62778500</v>
      </c>
      <c r="H13" s="14" t="str">
        <f>IFERROR(VLOOKUP(A13, [1]Otrosí!A:F, 6, FALSE), "0")</f>
        <v>0</v>
      </c>
      <c r="I13" s="13">
        <f t="shared" si="0"/>
        <v>62778500</v>
      </c>
      <c r="J13" s="15">
        <v>34755633</v>
      </c>
      <c r="K13" s="13">
        <f t="shared" si="1"/>
        <v>28022867</v>
      </c>
      <c r="L13" s="16">
        <f t="shared" si="2"/>
        <v>0.55362318309612368</v>
      </c>
      <c r="M13" s="17">
        <f>[1]Contratos!O13</f>
        <v>46037</v>
      </c>
      <c r="N13" s="17">
        <f>[1]Contratos!P13</f>
        <v>46042</v>
      </c>
      <c r="O13" s="17">
        <f>[1]Contratos!Q13</f>
        <v>46387</v>
      </c>
      <c r="P13" s="17" t="str">
        <f>IFERROR(VLOOKUP(A13, [1]Otrosí!A:L, 7, FALSE), "N/A")</f>
        <v>N/A</v>
      </c>
      <c r="Q13" s="18" t="s">
        <v>33</v>
      </c>
      <c r="R13" s="19" t="s">
        <v>55</v>
      </c>
      <c r="S13" s="20" t="s">
        <v>63</v>
      </c>
      <c r="T13" s="21" t="s">
        <v>36</v>
      </c>
      <c r="U13" s="10" t="str">
        <f>[1]Contratos!C13</f>
        <v>PN</v>
      </c>
      <c r="V13" s="10" t="str">
        <f>[1]Contratos!I13</f>
        <v>GESTIÓN ADM. Y FIN</v>
      </c>
      <c r="W13" s="22" t="str">
        <f>[1]Contratos!J13</f>
        <v>DIANA WILCHES</v>
      </c>
      <c r="X13" s="23" cm="1">
        <f t="array" ref="X13">IFERROR(VLOOKUP(W13,[1]COORD!$A$30:$B$66, 2, FALSE),[1]COORD!$B$30:$B$66)</f>
        <v>40049758</v>
      </c>
      <c r="Y13" s="24" t="s">
        <v>37</v>
      </c>
      <c r="Z13" s="25">
        <v>1053851255</v>
      </c>
      <c r="AA13" s="26" t="str" cm="1">
        <f t="array" ref="AA13">IF(Y13&lt;&gt;"NIT","N/A",IF(OR(Z13="",Z13="N/A"),"N/A",IF(ISERROR(VALUE(IF(ISNUMBER(FIND("-",TEXT(Z13,"@"))),LEFT(TEXT(Z13,"@"),FIND("-",TEXT(Z13,"@"))-1),TEXT(Z13,"@")))),"N/A",IF(MOD(SUMPRODUCT(VALUE(MID(TEXT(VALUE(IF(ISNUMBER(FIND("-",TEXT(Z13,"@"))),LEFT(TEXT(Z13,"@"),FIND("-",TEXT(Z13,"@"))-1),TEXT(Z13,"@"))),"000000000000000"),{15,14,13,12,11,10,9,8,7,6,5,4,3,2,1},1)),{3,7,13,17,19,23,29,37,41,43,47,53,59,67,71}),11)=0,0,IF(MOD(SUMPRODUCT(VALUE(MID(TEXT(VALUE(IF(ISNUMBER(FIND("-",TEXT(Z13,"@"))),LEFT(TEXT(Z13,"@"),FIND("-",TEXT(Z13,"@"))-1),TEXT(Z13,"@"))),"000000000000000"),{15,14,13,12,11,10,9,8,7,6,5,4,3,2,1},1)),{3,7,13,17,19,23,29,37,41,43,47,53,59,67,71}),11)=1,1,11-MOD(SUMPRODUCT(VALUE(MID(TEXT(VALUE(IF(ISNUMBER(FIND("-",TEXT(Z13,"@"))),LEFT(TEXT(Z13,"@"),FIND("-",TEXT(Z13,"@"))-1),TEXT(Z13,"@"))),"000000000000000"),{15,14,13,12,11,10,9,8,7,6,5,4,3,2,1},1)),{3,7,13,17,19,23,29,37,41,43,47,53,59,67,71}),11))))))</f>
        <v>N/A</v>
      </c>
      <c r="AB13" s="26">
        <v>77101500</v>
      </c>
      <c r="AC13" s="29">
        <f t="shared" si="3"/>
        <v>350</v>
      </c>
      <c r="AD13" s="19">
        <v>1926</v>
      </c>
      <c r="AE13" s="19">
        <v>4426</v>
      </c>
      <c r="AF13" s="19" t="s">
        <v>39</v>
      </c>
    </row>
    <row r="14" spans="1:32" ht="61.5" customHeight="1" x14ac:dyDescent="0.35">
      <c r="A14" s="1" t="str">
        <f>[1]Contratos!A14</f>
        <v>CONTRATO 13 DE 2026</v>
      </c>
      <c r="B14" s="10" t="s">
        <v>64</v>
      </c>
      <c r="C14" s="10" t="str">
        <f>[1]Contratos!E14</f>
        <v>Prestación de servicios profesionales o Apoyo a la gestión</v>
      </c>
      <c r="D14" s="10" t="s">
        <v>65</v>
      </c>
      <c r="E14" s="11" t="str">
        <f>[1]Contratos!F14</f>
        <v xml:space="preserve">Prestar servicios profesionales especializados en derecho tributario para apoyar y acompañar a la Comisión de Regulación de Comunicaciones (CRC) en el desarrollo de las actividades relacionadas con la Contribución a su favor, conforme a lo dispuesto en el artículo 24 de la Ley 1341 de 2009 y sus modificaciones. Estas actividades incluyen, entre otras, la atención de procesos de discusión administrativa, la aplicación del régimen sancionatorio, el adelanto de actuaciones de cobro coactivo y el seguimiento o respuesta a demandas judiciales derivadas de este concepto, durante la vigencia 2026. El servicio no incluye la representación judicial ni administrativa de la Entidad. </v>
      </c>
      <c r="F14" s="12">
        <v>250674470</v>
      </c>
      <c r="G14" s="13">
        <f>[1]Contratos!G14</f>
        <v>250674470</v>
      </c>
      <c r="H14" s="14" t="str">
        <f>IFERROR(VLOOKUP(A14, [1]Otrosí!A:F, 6, FALSE), "0")</f>
        <v>0</v>
      </c>
      <c r="I14" s="13">
        <f t="shared" si="0"/>
        <v>250674470</v>
      </c>
      <c r="J14" s="15">
        <v>141685568</v>
      </c>
      <c r="K14" s="13">
        <f t="shared" si="1"/>
        <v>108988902</v>
      </c>
      <c r="L14" s="16">
        <f t="shared" si="2"/>
        <v>0.56521738332587279</v>
      </c>
      <c r="M14" s="17">
        <f>[1]Contratos!O14</f>
        <v>46036</v>
      </c>
      <c r="N14" s="17">
        <f>[1]Contratos!P14</f>
        <v>46038</v>
      </c>
      <c r="O14" s="17">
        <f>[1]Contratos!Q14</f>
        <v>46387</v>
      </c>
      <c r="P14" s="17" t="str">
        <f>IFERROR(VLOOKUP(A14, [1]Otrosí!A:L, 7, FALSE), "N/A")</f>
        <v>N/A</v>
      </c>
      <c r="Q14" s="18" t="s">
        <v>33</v>
      </c>
      <c r="R14" s="19" t="s">
        <v>34</v>
      </c>
      <c r="S14" s="20" t="s">
        <v>66</v>
      </c>
      <c r="T14" s="21" t="s">
        <v>36</v>
      </c>
      <c r="U14" s="10" t="str">
        <f>[1]Contratos!C14</f>
        <v>PN</v>
      </c>
      <c r="V14" s="10" t="str">
        <f>[1]Contratos!I14</f>
        <v>GESTIÓN ADM. Y FIN</v>
      </c>
      <c r="W14" s="22" t="str">
        <f>[1]Contratos!J14</f>
        <v>DIANA WILCHES</v>
      </c>
      <c r="X14" s="23" cm="1">
        <f t="array" ref="X14">IFERROR(VLOOKUP(W14,[1]COORD!$A$30:$B$66, 2, FALSE),[1]COORD!$B$30:$B$66)</f>
        <v>40049758</v>
      </c>
      <c r="Y14" s="24" t="s">
        <v>37</v>
      </c>
      <c r="Z14" s="25">
        <v>79490451</v>
      </c>
      <c r="AA14" s="26" t="str" cm="1">
        <f t="array" ref="AA14">IF(Y14&lt;&gt;"NIT","N/A",IF(OR(Z14="",Z14="N/A"),"N/A",IF(ISERROR(VALUE(IF(ISNUMBER(FIND("-",TEXT(Z14,"@"))),LEFT(TEXT(Z14,"@"),FIND("-",TEXT(Z14,"@"))-1),TEXT(Z14,"@")))),"N/A",IF(MOD(SUMPRODUCT(VALUE(MID(TEXT(VALUE(IF(ISNUMBER(FIND("-",TEXT(Z14,"@"))),LEFT(TEXT(Z14,"@"),FIND("-",TEXT(Z14,"@"))-1),TEXT(Z14,"@"))),"000000000000000"),{15,14,13,12,11,10,9,8,7,6,5,4,3,2,1},1)),{3,7,13,17,19,23,29,37,41,43,47,53,59,67,71}),11)=0,0,IF(MOD(SUMPRODUCT(VALUE(MID(TEXT(VALUE(IF(ISNUMBER(FIND("-",TEXT(Z14,"@"))),LEFT(TEXT(Z14,"@"),FIND("-",TEXT(Z14,"@"))-1),TEXT(Z14,"@"))),"000000000000000"),{15,14,13,12,11,10,9,8,7,6,5,4,3,2,1},1)),{3,7,13,17,19,23,29,37,41,43,47,53,59,67,71}),11)=1,1,11-MOD(SUMPRODUCT(VALUE(MID(TEXT(VALUE(IF(ISNUMBER(FIND("-",TEXT(Z14,"@"))),LEFT(TEXT(Z14,"@"),FIND("-",TEXT(Z14,"@"))-1),TEXT(Z14,"@"))),"000000000000000"),{15,14,13,12,11,10,9,8,7,6,5,4,3,2,1},1)),{3,7,13,17,19,23,29,37,41,43,47,53,59,67,71}),11))))))</f>
        <v>N/A</v>
      </c>
      <c r="AB14" s="26">
        <v>80121607</v>
      </c>
      <c r="AC14" s="29">
        <f t="shared" si="3"/>
        <v>351</v>
      </c>
      <c r="AD14" s="19">
        <v>2026</v>
      </c>
      <c r="AE14" s="19">
        <v>3426</v>
      </c>
      <c r="AF14" s="19" t="s">
        <v>39</v>
      </c>
    </row>
    <row r="15" spans="1:32" ht="61.5" customHeight="1" x14ac:dyDescent="0.35">
      <c r="A15" s="1" t="str">
        <f>[1]Contratos!A15</f>
        <v>CONTRATO 14 DE 2026</v>
      </c>
      <c r="B15" s="10" t="s">
        <v>67</v>
      </c>
      <c r="C15" s="10" t="str">
        <f>[1]Contratos!E15</f>
        <v>Prestación de servicios profesionales o Apoyo a la gestión</v>
      </c>
      <c r="D15" s="10" t="s">
        <v>68</v>
      </c>
      <c r="E15" s="11" t="str">
        <f>[1]Contratos!F15</f>
        <v xml:space="preserve">Prestar servicios profesionales para el diseño, ejecución y evaluación de estrategias orientadas al fortalecimiento del pluralismo informativo y la alfabetización mediática, mediante el desarrollo de metodologías de observación y análisis de contenidos, la ejecución de proyectos regulatorios y estrategias pedagógicas innovadoras que promuevan el consumo responsable de información y la comprensión del entorno comunicativo convergente, en el marco de los proyectos contemplados dentro de la Agenda Regulatoria y el Plan de Acción 2026. </v>
      </c>
      <c r="F15" s="12">
        <v>136132700</v>
      </c>
      <c r="G15" s="13">
        <f>[1]Contratos!G15</f>
        <v>136132700</v>
      </c>
      <c r="H15" s="14" t="str">
        <f>IFERROR(VLOOKUP(A15, [1]Otrosí!A:F, 6, FALSE), "0")</f>
        <v>0</v>
      </c>
      <c r="I15" s="13">
        <f t="shared" si="0"/>
        <v>136132700</v>
      </c>
      <c r="J15" s="15">
        <v>76944569</v>
      </c>
      <c r="K15" s="13">
        <f t="shared" si="1"/>
        <v>59188131</v>
      </c>
      <c r="L15" s="16">
        <f t="shared" si="2"/>
        <v>0.56521738715238878</v>
      </c>
      <c r="M15" s="17">
        <f>[1]Contratos!O15</f>
        <v>46036</v>
      </c>
      <c r="N15" s="17">
        <f>[1]Contratos!P15</f>
        <v>46038</v>
      </c>
      <c r="O15" s="17">
        <f>[1]Contratos!Q15</f>
        <v>46387</v>
      </c>
      <c r="P15" s="17" t="str">
        <f>IFERROR(VLOOKUP(A15, [1]Otrosí!A:L, 7, FALSE), "N/A")</f>
        <v>N/A</v>
      </c>
      <c r="Q15" s="18" t="s">
        <v>33</v>
      </c>
      <c r="R15" s="19" t="s">
        <v>34</v>
      </c>
      <c r="S15" s="20" t="s">
        <v>69</v>
      </c>
      <c r="T15" s="21" t="s">
        <v>36</v>
      </c>
      <c r="U15" s="10" t="str">
        <f>[1]Contratos!C15</f>
        <v>PN</v>
      </c>
      <c r="V15" s="10" t="str">
        <f>[1]Contratos!I15</f>
        <v>PEDAGOGÍA REGULATORIA</v>
      </c>
      <c r="W15" s="22" t="str">
        <f>[1]Contratos!J15</f>
        <v>RICARDO RAMÍREZ</v>
      </c>
      <c r="X15" s="23" cm="1">
        <f t="array" ref="X15">IFERROR(VLOOKUP(W15,[1]COORD!$A$30:$B$66, 2, FALSE),[1]COORD!$B$30:$B$66)</f>
        <v>79444533</v>
      </c>
      <c r="Y15" s="24" t="s">
        <v>37</v>
      </c>
      <c r="Z15" s="25">
        <v>1018410406</v>
      </c>
      <c r="AA15" s="26" t="str" cm="1">
        <f t="array" ref="AA15">IF(Y15&lt;&gt;"NIT","N/A",IF(OR(Z15="",Z15="N/A"),"N/A",IF(ISERROR(VALUE(IF(ISNUMBER(FIND("-",TEXT(Z15,"@"))),LEFT(TEXT(Z15,"@"),FIND("-",TEXT(Z15,"@"))-1),TEXT(Z15,"@")))),"N/A",IF(MOD(SUMPRODUCT(VALUE(MID(TEXT(VALUE(IF(ISNUMBER(FIND("-",TEXT(Z15,"@"))),LEFT(TEXT(Z15,"@"),FIND("-",TEXT(Z15,"@"))-1),TEXT(Z15,"@"))),"000000000000000"),{15,14,13,12,11,10,9,8,7,6,5,4,3,2,1},1)),{3,7,13,17,19,23,29,37,41,43,47,53,59,67,71}),11)=0,0,IF(MOD(SUMPRODUCT(VALUE(MID(TEXT(VALUE(IF(ISNUMBER(FIND("-",TEXT(Z15,"@"))),LEFT(TEXT(Z15,"@"),FIND("-",TEXT(Z15,"@"))-1),TEXT(Z15,"@"))),"000000000000000"),{15,14,13,12,11,10,9,8,7,6,5,4,3,2,1},1)),{3,7,13,17,19,23,29,37,41,43,47,53,59,67,71}),11)=1,1,11-MOD(SUMPRODUCT(VALUE(MID(TEXT(VALUE(IF(ISNUMBER(FIND("-",TEXT(Z15,"@"))),LEFT(TEXT(Z15,"@"),FIND("-",TEXT(Z15,"@"))-1),TEXT(Z15,"@"))),"000000000000000"),{15,14,13,12,11,10,9,8,7,6,5,4,3,2,1},1)),{3,7,13,17,19,23,29,37,41,43,47,53,59,67,71}),11))))))</f>
        <v>N/A</v>
      </c>
      <c r="AB15" s="26">
        <v>80121601</v>
      </c>
      <c r="AC15" s="29">
        <f t="shared" si="3"/>
        <v>351</v>
      </c>
      <c r="AD15" s="19">
        <v>3626</v>
      </c>
      <c r="AE15" s="19">
        <v>3526</v>
      </c>
      <c r="AF15" s="19" t="s">
        <v>39</v>
      </c>
    </row>
    <row r="16" spans="1:32" ht="61.5" customHeight="1" x14ac:dyDescent="0.35">
      <c r="A16" s="1" t="str">
        <f>[1]Contratos!A16</f>
        <v>CONTRATO 15 DE 2026</v>
      </c>
      <c r="B16" s="10" t="str">
        <f>[1]Contratos!B16</f>
        <v>MÓNICA MEJÍA / CEDIDO A LADY TORREZ</v>
      </c>
      <c r="C16" s="10" t="str">
        <f>[1]Contratos!E16</f>
        <v>Prestación de servicios profesionales o Apoyo a la gestión</v>
      </c>
      <c r="D16" s="10" t="s">
        <v>70</v>
      </c>
      <c r="E16" s="11" t="str">
        <f>[1]Contratos!F16</f>
        <v xml:space="preserve">prestar servicios profesionales con plena autonomía técnica y administrativa para apoyar al Grupo Interno de Trabajo de Control Interno de la CRC en la planeación, ejecución y seguimiento del Plan Anual de Auditoría 2026, con enfoque basado en riesgos, incluyendo la elaboración de informes de ley, la realización de auditorías internas y el seguimiento y evaluación de planes de mejoramiento, en cumplimiento de la normativa vigente y en articulación con los objetivos estratégicos y el Sistema de Control Interno de la Entidad. </v>
      </c>
      <c r="F16" s="12">
        <v>74750000</v>
      </c>
      <c r="G16" s="13">
        <f>[1]Contratos!G16</f>
        <v>74750000</v>
      </c>
      <c r="H16" s="14" t="str">
        <f>IFERROR(VLOOKUP(A16, [1]Otrosí!A:F, 6, FALSE), "0")</f>
        <v xml:space="preserve">N/A  </v>
      </c>
      <c r="I16" s="13">
        <f t="shared" si="0"/>
        <v>74750000</v>
      </c>
      <c r="J16" s="15">
        <v>35750000</v>
      </c>
      <c r="K16" s="13">
        <f t="shared" si="1"/>
        <v>39000000</v>
      </c>
      <c r="L16" s="16">
        <f t="shared" si="2"/>
        <v>0.47826086956521741</v>
      </c>
      <c r="M16" s="17">
        <f>[1]Contratos!O16</f>
        <v>46036</v>
      </c>
      <c r="N16" s="17">
        <f>[1]Contratos!P16</f>
        <v>46038</v>
      </c>
      <c r="O16" s="17">
        <f>[1]Contratos!Q16</f>
        <v>46387</v>
      </c>
      <c r="P16" s="17" t="str">
        <f>IFERROR(VLOOKUP(A16, [1]Otrosí!A:L, 7, FALSE), "N/A")</f>
        <v xml:space="preserve">N/A  </v>
      </c>
      <c r="Q16" s="18" t="s">
        <v>33</v>
      </c>
      <c r="R16" s="19" t="s">
        <v>55</v>
      </c>
      <c r="S16" s="20" t="s">
        <v>71</v>
      </c>
      <c r="T16" s="21" t="s">
        <v>36</v>
      </c>
      <c r="U16" s="10" t="str">
        <f>[1]Contratos!C16</f>
        <v>PN</v>
      </c>
      <c r="V16" s="10" t="str">
        <f>[1]Contratos!I16</f>
        <v>CONTROL INTERNO</v>
      </c>
      <c r="W16" s="22" t="str">
        <f>[1]Contratos!J16</f>
        <v>MARTHA VALENZUELA</v>
      </c>
      <c r="X16" s="23" cm="1">
        <f t="array" ref="X16">IFERROR(VLOOKUP(W16,[1]COORD!$A$30:$B$66, 2, FALSE),[1]COORD!$B$30:$B$66)</f>
        <v>52030345</v>
      </c>
      <c r="Y16" s="24" t="s">
        <v>37</v>
      </c>
      <c r="Z16" s="25">
        <v>37394973</v>
      </c>
      <c r="AA16" s="26" t="str" cm="1">
        <f t="array" ref="AA16">IF(Y16&lt;&gt;"NIT","N/A",IF(OR(Z16="",Z16="N/A"),"N/A",IF(ISERROR(VALUE(IF(ISNUMBER(FIND("-",TEXT(Z16,"@"))),LEFT(TEXT(Z16,"@"),FIND("-",TEXT(Z16,"@"))-1),TEXT(Z16,"@")))),"N/A",IF(MOD(SUMPRODUCT(VALUE(MID(TEXT(VALUE(IF(ISNUMBER(FIND("-",TEXT(Z16,"@"))),LEFT(TEXT(Z16,"@"),FIND("-",TEXT(Z16,"@"))-1),TEXT(Z16,"@"))),"000000000000000"),{15,14,13,12,11,10,9,8,7,6,5,4,3,2,1},1)),{3,7,13,17,19,23,29,37,41,43,47,53,59,67,71}),11)=0,0,IF(MOD(SUMPRODUCT(VALUE(MID(TEXT(VALUE(IF(ISNUMBER(FIND("-",TEXT(Z16,"@"))),LEFT(TEXT(Z16,"@"),FIND("-",TEXT(Z16,"@"))-1),TEXT(Z16,"@"))),"000000000000000"),{15,14,13,12,11,10,9,8,7,6,5,4,3,2,1},1)),{3,7,13,17,19,23,29,37,41,43,47,53,59,67,71}),11)=1,1,11-MOD(SUMPRODUCT(VALUE(MID(TEXT(VALUE(IF(ISNUMBER(FIND("-",TEXT(Z16,"@"))),LEFT(TEXT(Z16,"@"),FIND("-",TEXT(Z16,"@"))-1),TEXT(Z16,"@"))),"000000000000000"),{15,14,13,12,11,10,9,8,7,6,5,4,3,2,1},1)),{3,7,13,17,19,23,29,37,41,43,47,53,59,67,71}),11))))))</f>
        <v>N/A</v>
      </c>
      <c r="AB16" s="26">
        <v>93151607</v>
      </c>
      <c r="AC16" s="29">
        <f t="shared" si="3"/>
        <v>351</v>
      </c>
      <c r="AD16" s="19">
        <v>3926</v>
      </c>
      <c r="AE16" s="19">
        <v>3226</v>
      </c>
      <c r="AF16" s="19" t="s">
        <v>39</v>
      </c>
    </row>
    <row r="17" spans="1:32" ht="61.5" customHeight="1" x14ac:dyDescent="0.35">
      <c r="A17" s="1" t="str">
        <f>[1]Contratos!A17</f>
        <v>CONTRATO 16 DE 2026</v>
      </c>
      <c r="B17" s="10" t="str">
        <f>[1]Contratos!B17</f>
        <v>SOPORTE LÓGICO -HUMANO</v>
      </c>
      <c r="C17" s="10" t="str">
        <f>[1]Contratos!E17</f>
        <v>Contratación directa</v>
      </c>
      <c r="D17" s="10" t="s">
        <v>72</v>
      </c>
      <c r="E17" s="11" t="str">
        <f>[1]Contratos!F17</f>
        <v xml:space="preserve">Renovación del contrato de servicios, mantenimiento, soporte y bolsa de horas para el sistema de nómina y gestión del recurso humano – “humano” de la CRC. </v>
      </c>
      <c r="F17" s="12">
        <v>68532299</v>
      </c>
      <c r="G17" s="13">
        <f>[1]Contratos!G17</f>
        <v>68532299</v>
      </c>
      <c r="H17" s="14" t="str">
        <f>IFERROR(VLOOKUP(A17, [1]Otrosí!A:F, 6, FALSE), "0")</f>
        <v>0</v>
      </c>
      <c r="I17" s="13">
        <f t="shared" si="0"/>
        <v>68532299</v>
      </c>
      <c r="J17" s="15">
        <v>48987303</v>
      </c>
      <c r="K17" s="13">
        <f t="shared" si="1"/>
        <v>19544996</v>
      </c>
      <c r="L17" s="16">
        <f t="shared" si="2"/>
        <v>0.71480606538531566</v>
      </c>
      <c r="M17" s="17">
        <f>[1]Contratos!O17</f>
        <v>46037</v>
      </c>
      <c r="N17" s="17">
        <f>[1]Contratos!P17</f>
        <v>46038</v>
      </c>
      <c r="O17" s="17">
        <f>[1]Contratos!Q17</f>
        <v>46387</v>
      </c>
      <c r="P17" s="17" t="str">
        <f>IFERROR(VLOOKUP(A17, [1]Otrosí!A:L, 7, FALSE), "N/A")</f>
        <v>N/A</v>
      </c>
      <c r="Q17" s="18" t="s">
        <v>73</v>
      </c>
      <c r="R17" s="19" t="s">
        <v>34</v>
      </c>
      <c r="S17" s="20" t="s">
        <v>74</v>
      </c>
      <c r="T17" s="21" t="s">
        <v>36</v>
      </c>
      <c r="U17" s="10" t="str">
        <f>[1]Contratos!C17</f>
        <v>PJ</v>
      </c>
      <c r="V17" s="10" t="str">
        <f>[1]Contratos!I17</f>
        <v>GESTIÓN ADM. Y FIN</v>
      </c>
      <c r="W17" s="22" t="str">
        <f>[1]Contratos!J17</f>
        <v>DIANA WILCHES</v>
      </c>
      <c r="X17" s="23" cm="1">
        <f t="array" ref="X17">IFERROR(VLOOKUP(W17,[1]COORD!$A$30:$B$66, 2, FALSE),[1]COORD!$B$30:$B$66)</f>
        <v>40049758</v>
      </c>
      <c r="Y17" s="24" t="s">
        <v>75</v>
      </c>
      <c r="Z17" s="25">
        <v>800187672</v>
      </c>
      <c r="AA17" s="26" cm="1">
        <f t="array" ref="AA17">IF(Y17&lt;&gt;"NIT","N/A",IF(OR(Z17="",Z17="N/A"),"N/A",IF(ISERROR(VALUE(IF(ISNUMBER(FIND("-",TEXT(Z17,"@"))),LEFT(TEXT(Z17,"@"),FIND("-",TEXT(Z17,"@"))-1),TEXT(Z17,"@")))),"N/A",IF(MOD(SUMPRODUCT(VALUE(MID(TEXT(VALUE(IF(ISNUMBER(FIND("-",TEXT(Z17,"@"))),LEFT(TEXT(Z17,"@"),FIND("-",TEXT(Z17,"@"))-1),TEXT(Z17,"@"))),"000000000000000"),{15,14,13,12,11,10,9,8,7,6,5,4,3,2,1},1)),{3,7,13,17,19,23,29,37,41,43,47,53,59,67,71}),11)=0,0,IF(MOD(SUMPRODUCT(VALUE(MID(TEXT(VALUE(IF(ISNUMBER(FIND("-",TEXT(Z17,"@"))),LEFT(TEXT(Z17,"@"),FIND("-",TEXT(Z17,"@"))-1),TEXT(Z17,"@"))),"000000000000000"),{15,14,13,12,11,10,9,8,7,6,5,4,3,2,1},1)),{3,7,13,17,19,23,29,37,41,43,47,53,59,67,71}),11)=1,1,11-MOD(SUMPRODUCT(VALUE(MID(TEXT(VALUE(IF(ISNUMBER(FIND("-",TEXT(Z17,"@"))),LEFT(TEXT(Z17,"@"),FIND("-",TEXT(Z17,"@"))-1),TEXT(Z17,"@"))),"000000000000000"),{15,14,13,12,11,10,9,8,7,6,5,4,3,2,1},1)),{3,7,13,17,19,23,29,37,41,43,47,53,59,67,71}),11))))))</f>
        <v>4</v>
      </c>
      <c r="AB17" s="26">
        <v>81112204</v>
      </c>
      <c r="AC17" s="29">
        <f t="shared" si="3"/>
        <v>350</v>
      </c>
      <c r="AD17" s="19">
        <v>1726</v>
      </c>
      <c r="AE17" s="19">
        <v>4026</v>
      </c>
      <c r="AF17" s="19" t="s">
        <v>39</v>
      </c>
    </row>
    <row r="18" spans="1:32" ht="61.5" customHeight="1" x14ac:dyDescent="0.35">
      <c r="A18" s="1" t="str">
        <f>[1]Contratos!A18</f>
        <v>CONTRATO 17 DE 2026</v>
      </c>
      <c r="B18" s="10" t="s">
        <v>76</v>
      </c>
      <c r="C18" s="10" t="str">
        <f>[1]Contratos!E18</f>
        <v>Prestación de servicios profesionales o Apoyo a la gestión</v>
      </c>
      <c r="D18" s="10" t="s">
        <v>77</v>
      </c>
      <c r="E18" s="11" t="str">
        <f>[1]Contratos!F18</f>
        <v>Prestar servicios de interpretación en Lengua de Señas Colombiana durante el año 2026, los cuales incluirán la traducción de contenidos audiovisuales institucionales, la interpretación en espacios y actividades comunicacionales, así como en eventos oficiales organizados por la Comisión de Regulación de Comunicaciones (CRC). El contratista trabajará de manera articulada con la Coordinación de Relaciones con Grupos de Valor, dependencia encargada de liderar la estrategia de comunicaciones de la entidad durante la vigencia 2026</v>
      </c>
      <c r="F18" s="12">
        <v>42274496</v>
      </c>
      <c r="G18" s="13">
        <f>[1]Contratos!G18</f>
        <v>42274496</v>
      </c>
      <c r="H18" s="14" t="str">
        <f>IFERROR(VLOOKUP(A18, [1]Otrosí!A:F, 6, FALSE), "0")</f>
        <v>0</v>
      </c>
      <c r="I18" s="13">
        <f t="shared" si="0"/>
        <v>42274496</v>
      </c>
      <c r="J18" s="15">
        <v>23058816</v>
      </c>
      <c r="K18" s="13">
        <f t="shared" si="1"/>
        <v>19215680</v>
      </c>
      <c r="L18" s="16">
        <f t="shared" si="2"/>
        <v>0.54545454545454541</v>
      </c>
      <c r="M18" s="17">
        <f>[1]Contratos!O18</f>
        <v>46037</v>
      </c>
      <c r="N18" s="17">
        <f>[1]Contratos!P18</f>
        <v>46050</v>
      </c>
      <c r="O18" s="17">
        <f>[1]Contratos!Q18</f>
        <v>46387</v>
      </c>
      <c r="P18" s="17" t="str">
        <f>IFERROR(VLOOKUP(A18, [1]Otrosí!A:L, 7, FALSE), "N/A")</f>
        <v>N/A</v>
      </c>
      <c r="Q18" s="18" t="s">
        <v>33</v>
      </c>
      <c r="R18" s="19" t="s">
        <v>34</v>
      </c>
      <c r="S18" s="20" t="s">
        <v>78</v>
      </c>
      <c r="T18" s="21" t="s">
        <v>36</v>
      </c>
      <c r="U18" s="10" t="str">
        <f>[1]Contratos!C18</f>
        <v>PN</v>
      </c>
      <c r="V18" s="10" t="str">
        <f>[1]Contratos!I18</f>
        <v>RELACIONES CON GRUPOS DE VALOR</v>
      </c>
      <c r="W18" s="22" t="str">
        <f>[1]Contratos!J18</f>
        <v>MARIANA SARMIENTO</v>
      </c>
      <c r="X18" s="23" cm="1">
        <f t="array" ref="X18">IFERROR(VLOOKUP(W18,[1]COORD!$A$30:$B$66, 2, FALSE),[1]COORD!$B$30:$B$66)</f>
        <v>52862292</v>
      </c>
      <c r="Y18" s="24" t="s">
        <v>37</v>
      </c>
      <c r="Z18" s="25">
        <v>1022359012</v>
      </c>
      <c r="AA18" s="26" t="str" cm="1">
        <f t="array" ref="AA18">IF(Y18&lt;&gt;"NIT","N/A",IF(OR(Z18="",Z18="N/A"),"N/A",IF(ISERROR(VALUE(IF(ISNUMBER(FIND("-",TEXT(Z18,"@"))),LEFT(TEXT(Z18,"@"),FIND("-",TEXT(Z18,"@"))-1),TEXT(Z18,"@")))),"N/A",IF(MOD(SUMPRODUCT(VALUE(MID(TEXT(VALUE(IF(ISNUMBER(FIND("-",TEXT(Z18,"@"))),LEFT(TEXT(Z18,"@"),FIND("-",TEXT(Z18,"@"))-1),TEXT(Z18,"@"))),"000000000000000"),{15,14,13,12,11,10,9,8,7,6,5,4,3,2,1},1)),{3,7,13,17,19,23,29,37,41,43,47,53,59,67,71}),11)=0,0,IF(MOD(SUMPRODUCT(VALUE(MID(TEXT(VALUE(IF(ISNUMBER(FIND("-",TEXT(Z18,"@"))),LEFT(TEXT(Z18,"@"),FIND("-",TEXT(Z18,"@"))-1),TEXT(Z18,"@"))),"000000000000000"),{15,14,13,12,11,10,9,8,7,6,5,4,3,2,1},1)),{3,7,13,17,19,23,29,37,41,43,47,53,59,67,71}),11)=1,1,11-MOD(SUMPRODUCT(VALUE(MID(TEXT(VALUE(IF(ISNUMBER(FIND("-",TEXT(Z18,"@"))),LEFT(TEXT(Z18,"@"),FIND("-",TEXT(Z18,"@"))-1),TEXT(Z18,"@"))),"000000000000000"),{15,14,13,12,11,10,9,8,7,6,5,4,3,2,1},1)),{3,7,13,17,19,23,29,37,41,43,47,53,59,67,71}),11))))))</f>
        <v>N/A</v>
      </c>
      <c r="AB18" s="26">
        <v>90121702</v>
      </c>
      <c r="AC18" s="29">
        <f t="shared" si="3"/>
        <v>350</v>
      </c>
      <c r="AD18" s="19">
        <v>2526</v>
      </c>
      <c r="AE18" s="19">
        <v>5926</v>
      </c>
      <c r="AF18" s="19" t="s">
        <v>39</v>
      </c>
    </row>
    <row r="19" spans="1:32" ht="61.5" customHeight="1" x14ac:dyDescent="0.35">
      <c r="A19" s="1" t="str">
        <f>[1]Contratos!A19</f>
        <v>CONTRATO 18 DE 2026</v>
      </c>
      <c r="B19" s="10" t="str">
        <f>[1]Contratos!B19</f>
        <v>JHON RICHARD SÁNCHEZ CASTIBLANCO</v>
      </c>
      <c r="C19" s="10" t="str">
        <f>[1]Contratos!E19</f>
        <v>Prestación de servicios profesionales o Apoyo a la gestión</v>
      </c>
      <c r="D19" s="10" t="s">
        <v>79</v>
      </c>
      <c r="E19" s="11" t="str">
        <f>[1]Contratos!F19</f>
        <v>Prestación de servicios profesionales para brindar apoyo en el desarrollo de actividades asociadas al consumo crítico de contenidos audiovisuales, la generación de entornos audiovisuales seguros, la protección de los derechos de la niñez y la familia en los contenidos audiovisuales, y la prevención de la desinformación, mediante la formulación y ejecución de proyectos regulatorios, de estrategias de difusión y pedagogía regulatoria orientadas al sector y a la ciudadanía, en el marco de los acciones contemplados dentro de la Agenda Regulatoria y el Plan de Acción 2026.</v>
      </c>
      <c r="F19" s="12">
        <v>161177100</v>
      </c>
      <c r="G19" s="13">
        <f>[1]Contratos!G19</f>
        <v>161177100</v>
      </c>
      <c r="H19" s="14" t="str">
        <f>IFERROR(VLOOKUP(A19, [1]Otrosí!A:F, 6, FALSE), "0")</f>
        <v>0</v>
      </c>
      <c r="I19" s="13">
        <f t="shared" si="0"/>
        <v>161177100</v>
      </c>
      <c r="J19" s="15">
        <v>91100100</v>
      </c>
      <c r="K19" s="13">
        <f t="shared" si="1"/>
        <v>70077000</v>
      </c>
      <c r="L19" s="16">
        <f t="shared" si="2"/>
        <v>0.56521739130434778</v>
      </c>
      <c r="M19" s="17">
        <f>[1]Contratos!O19</f>
        <v>46036</v>
      </c>
      <c r="N19" s="17">
        <f>[1]Contratos!P19</f>
        <v>46038</v>
      </c>
      <c r="O19" s="17">
        <f>[1]Contratos!Q19</f>
        <v>46387</v>
      </c>
      <c r="P19" s="17" t="str">
        <f>IFERROR(VLOOKUP(A19, [1]Otrosí!A:L, 7, FALSE), "N/A")</f>
        <v>N/A</v>
      </c>
      <c r="Q19" s="18" t="s">
        <v>33</v>
      </c>
      <c r="R19" s="19" t="s">
        <v>34</v>
      </c>
      <c r="S19" s="20" t="s">
        <v>80</v>
      </c>
      <c r="T19" s="21" t="s">
        <v>36</v>
      </c>
      <c r="U19" s="10" t="str">
        <f>[1]Contratos!C19</f>
        <v>PN</v>
      </c>
      <c r="V19" s="10" t="str">
        <f>[1]Contratos!I19</f>
        <v>PEDAGOGÍA REGULATORIA</v>
      </c>
      <c r="W19" s="22" t="str">
        <f>[1]Contratos!J19</f>
        <v>RICARDO RAMÍREZ</v>
      </c>
      <c r="X19" s="23" cm="1">
        <f t="array" ref="X19">IFERROR(VLOOKUP(W19,[1]COORD!$A$30:$B$66, 2, FALSE),[1]COORD!$B$30:$B$66)</f>
        <v>79444533</v>
      </c>
      <c r="Y19" s="24" t="s">
        <v>37</v>
      </c>
      <c r="Z19" s="25">
        <v>79633610</v>
      </c>
      <c r="AA19" s="26" t="str" cm="1">
        <f t="array" ref="AA19">IF(Y19&lt;&gt;"NIT","N/A",IF(OR(Z19="",Z19="N/A"),"N/A",IF(ISERROR(VALUE(IF(ISNUMBER(FIND("-",TEXT(Z19,"@"))),LEFT(TEXT(Z19,"@"),FIND("-",TEXT(Z19,"@"))-1),TEXT(Z19,"@")))),"N/A",IF(MOD(SUMPRODUCT(VALUE(MID(TEXT(VALUE(IF(ISNUMBER(FIND("-",TEXT(Z19,"@"))),LEFT(TEXT(Z19,"@"),FIND("-",TEXT(Z19,"@"))-1),TEXT(Z19,"@"))),"000000000000000"),{15,14,13,12,11,10,9,8,7,6,5,4,3,2,1},1)),{3,7,13,17,19,23,29,37,41,43,47,53,59,67,71}),11)=0,0,IF(MOD(SUMPRODUCT(VALUE(MID(TEXT(VALUE(IF(ISNUMBER(FIND("-",TEXT(Z19,"@"))),LEFT(TEXT(Z19,"@"),FIND("-",TEXT(Z19,"@"))-1),TEXT(Z19,"@"))),"000000000000000"),{15,14,13,12,11,10,9,8,7,6,5,4,3,2,1},1)),{3,7,13,17,19,23,29,37,41,43,47,53,59,67,71}),11)=1,1,11-MOD(SUMPRODUCT(VALUE(MID(TEXT(VALUE(IF(ISNUMBER(FIND("-",TEXT(Z19,"@"))),LEFT(TEXT(Z19,"@"),FIND("-",TEXT(Z19,"@"))-1),TEXT(Z19,"@"))),"000000000000000"),{15,14,13,12,11,10,9,8,7,6,5,4,3,2,1},1)),{3,7,13,17,19,23,29,37,41,43,47,53,59,67,71}),11))))))</f>
        <v>N/A</v>
      </c>
      <c r="AB19" s="26">
        <v>86101701</v>
      </c>
      <c r="AC19" s="29">
        <f t="shared" si="3"/>
        <v>351</v>
      </c>
      <c r="AD19" s="19">
        <v>3226</v>
      </c>
      <c r="AE19" s="19">
        <v>2726</v>
      </c>
      <c r="AF19" s="19" t="s">
        <v>39</v>
      </c>
    </row>
    <row r="20" spans="1:32" ht="61.5" customHeight="1" x14ac:dyDescent="0.35">
      <c r="A20" s="1" t="str">
        <f>[1]Contratos!A20</f>
        <v>CONTRATO 19 DE 2026</v>
      </c>
      <c r="B20" s="10" t="str">
        <f>[1]Contratos!B20</f>
        <v>JULIO CÉSAR MENDOZA GARCÍA</v>
      </c>
      <c r="C20" s="10" t="str">
        <f>[1]Contratos!E20</f>
        <v>Prestación de servicios profesionales o Apoyo a la gestión</v>
      </c>
      <c r="D20" s="10" t="s">
        <v>81</v>
      </c>
      <c r="E20" s="11" t="str">
        <f>[1]Contratos!F20</f>
        <v>Prestación de servicios profesionales para brindar apoyo en el desarrollo de actividades de promoción del pluralismo informativo, la protección de los derechos de las audiencias, la integridad de la información y la alfabetización mediática informacional, a través la participación y el impulso de iniciativas de cooperación técnica, y la formulación y ejecución de proyectos regulatorios y no regulatorios contemplados dentro de la Agenda Regulatoria y el Plan de Acción 2026.</v>
      </c>
      <c r="F20" s="12">
        <v>161177100</v>
      </c>
      <c r="G20" s="13">
        <f>[1]Contratos!G20</f>
        <v>161177100</v>
      </c>
      <c r="H20" s="14" t="str">
        <f>IFERROR(VLOOKUP(A20, [1]Otrosí!A:F, 6, FALSE), "0")</f>
        <v>0</v>
      </c>
      <c r="I20" s="13">
        <f t="shared" si="0"/>
        <v>161177100</v>
      </c>
      <c r="J20" s="15">
        <v>77084700</v>
      </c>
      <c r="K20" s="13">
        <f t="shared" si="1"/>
        <v>84092400</v>
      </c>
      <c r="L20" s="16">
        <f t="shared" si="2"/>
        <v>0.47826086956521741</v>
      </c>
      <c r="M20" s="17">
        <f>[1]Contratos!O20</f>
        <v>46036</v>
      </c>
      <c r="N20" s="17">
        <f>[1]Contratos!P20</f>
        <v>46038</v>
      </c>
      <c r="O20" s="17">
        <f>[1]Contratos!Q20</f>
        <v>46387</v>
      </c>
      <c r="P20" s="17" t="str">
        <f>IFERROR(VLOOKUP(A20, [1]Otrosí!A:L, 7, FALSE), "N/A")</f>
        <v>N/A</v>
      </c>
      <c r="Q20" s="18" t="s">
        <v>33</v>
      </c>
      <c r="R20" s="19" t="s">
        <v>34</v>
      </c>
      <c r="S20" s="20" t="s">
        <v>82</v>
      </c>
      <c r="T20" s="21" t="s">
        <v>36</v>
      </c>
      <c r="U20" s="10" t="str">
        <f>[1]Contratos!C20</f>
        <v>PN</v>
      </c>
      <c r="V20" s="10" t="str">
        <f>[1]Contratos!I20</f>
        <v>PEDAGOGÍA REGULATORIA</v>
      </c>
      <c r="W20" s="22" t="str">
        <f>[1]Contratos!J20</f>
        <v>RICARDO RAMÍREZ</v>
      </c>
      <c r="X20" s="23" cm="1">
        <f t="array" ref="X20">IFERROR(VLOOKUP(W20,[1]COORD!$A$30:$B$66, 2, FALSE),[1]COORD!$B$30:$B$66)</f>
        <v>79444533</v>
      </c>
      <c r="Y20" s="24" t="s">
        <v>37</v>
      </c>
      <c r="Z20" s="25">
        <v>16734378</v>
      </c>
      <c r="AA20" s="26" t="str" cm="1">
        <f t="array" ref="AA20">IF(Y20&lt;&gt;"NIT","N/A",IF(OR(Z20="",Z20="N/A"),"N/A",IF(ISERROR(VALUE(IF(ISNUMBER(FIND("-",TEXT(Z20,"@"))),LEFT(TEXT(Z20,"@"),FIND("-",TEXT(Z20,"@"))-1),TEXT(Z20,"@")))),"N/A",IF(MOD(SUMPRODUCT(VALUE(MID(TEXT(VALUE(IF(ISNUMBER(FIND("-",TEXT(Z20,"@"))),LEFT(TEXT(Z20,"@"),FIND("-",TEXT(Z20,"@"))-1),TEXT(Z20,"@"))),"000000000000000"),{15,14,13,12,11,10,9,8,7,6,5,4,3,2,1},1)),{3,7,13,17,19,23,29,37,41,43,47,53,59,67,71}),11)=0,0,IF(MOD(SUMPRODUCT(VALUE(MID(TEXT(VALUE(IF(ISNUMBER(FIND("-",TEXT(Z20,"@"))),LEFT(TEXT(Z20,"@"),FIND("-",TEXT(Z20,"@"))-1),TEXT(Z20,"@"))),"000000000000000"),{15,14,13,12,11,10,9,8,7,6,5,4,3,2,1},1)),{3,7,13,17,19,23,29,37,41,43,47,53,59,67,71}),11)=1,1,11-MOD(SUMPRODUCT(VALUE(MID(TEXT(VALUE(IF(ISNUMBER(FIND("-",TEXT(Z20,"@"))),LEFT(TEXT(Z20,"@"),FIND("-",TEXT(Z20,"@"))-1),TEXT(Z20,"@"))),"000000000000000"),{15,14,13,12,11,10,9,8,7,6,5,4,3,2,1},1)),{3,7,13,17,19,23,29,37,41,43,47,53,59,67,71}),11))))))</f>
        <v>N/A</v>
      </c>
      <c r="AB20" s="26">
        <v>86101701</v>
      </c>
      <c r="AC20" s="29">
        <f t="shared" si="3"/>
        <v>351</v>
      </c>
      <c r="AD20" s="19">
        <v>3126</v>
      </c>
      <c r="AE20" s="19">
        <v>2826</v>
      </c>
      <c r="AF20" s="19" t="s">
        <v>39</v>
      </c>
    </row>
    <row r="21" spans="1:32" ht="61.5" customHeight="1" x14ac:dyDescent="0.35">
      <c r="A21" s="1" t="str">
        <f>[1]Contratos!A21</f>
        <v>CONTRATO 20 DE 2026</v>
      </c>
      <c r="B21" s="10" t="str">
        <f>[1]Contratos!B21</f>
        <v xml:space="preserve">ESTRATEGIAS Y ASESORÍAS REGULATORIAS S.A.S. </v>
      </c>
      <c r="C21" s="10" t="str">
        <f>[1]Contratos!E21</f>
        <v>Contratación directa</v>
      </c>
      <c r="D21" s="10" t="s">
        <v>83</v>
      </c>
      <c r="E21" s="11" t="str">
        <f>[1]Contratos!F21</f>
        <v>Prestar servicios de asesoría estratégica, jurídica y regulatoria para fortalecer la gestión institucional de la CRC en asuntos de relacionamiento y seguimiento misional, mediante un acompañamiento jurídico especializado que apoye a la Coordinación de Relaciones con Grupos de Valor en el monitoreo, análisis y gestión de iniciativas legislativas en el Congreso que impactan las competencias de la Entidad en los sectores de comunicaciones, postal y contenidos audiovisuales.</v>
      </c>
      <c r="F21" s="12">
        <v>218866593</v>
      </c>
      <c r="G21" s="13">
        <f>[1]Contratos!G21</f>
        <v>218866593</v>
      </c>
      <c r="H21" s="14" t="str">
        <f>IFERROR(VLOOKUP(A21, [1]Otrosí!A:F, 6, FALSE), "0")</f>
        <v>0</v>
      </c>
      <c r="I21" s="13">
        <f t="shared" si="0"/>
        <v>218866593</v>
      </c>
      <c r="J21" s="15">
        <v>119381778</v>
      </c>
      <c r="K21" s="13">
        <f t="shared" si="1"/>
        <v>99484815</v>
      </c>
      <c r="L21" s="16">
        <f t="shared" si="2"/>
        <v>0.54545454545454541</v>
      </c>
      <c r="M21" s="17">
        <f>[1]Contratos!O21</f>
        <v>46036</v>
      </c>
      <c r="N21" s="17">
        <f>[1]Contratos!P21</f>
        <v>46041</v>
      </c>
      <c r="O21" s="17">
        <f>[1]Contratos!Q21</f>
        <v>46374</v>
      </c>
      <c r="P21" s="17" t="str">
        <f>IFERROR(VLOOKUP(A21, [1]Otrosí!A:L, 7, FALSE), "N/A")</f>
        <v>N/A</v>
      </c>
      <c r="Q21" s="18" t="s">
        <v>73</v>
      </c>
      <c r="R21" s="19" t="s">
        <v>34</v>
      </c>
      <c r="S21" s="20" t="s">
        <v>84</v>
      </c>
      <c r="T21" s="21" t="s">
        <v>36</v>
      </c>
      <c r="U21" s="10" t="str">
        <f>[1]Contratos!C21</f>
        <v>PJ</v>
      </c>
      <c r="V21" s="10" t="str">
        <f>[1]Contratos!I21</f>
        <v>RELACIONES CON GRUPOS DE VALOR</v>
      </c>
      <c r="W21" s="22" t="str">
        <f>[1]Contratos!J21</f>
        <v>MARIANA SARMIENTO</v>
      </c>
      <c r="X21" s="23" cm="1">
        <f t="array" ref="X21">IFERROR(VLOOKUP(W21,[1]COORD!$A$30:$B$66, 2, FALSE),[1]COORD!$B$30:$B$66)</f>
        <v>52862292</v>
      </c>
      <c r="Y21" s="24" t="s">
        <v>75</v>
      </c>
      <c r="Z21" s="25">
        <v>901658126</v>
      </c>
      <c r="AA21" s="26" cm="1">
        <f t="array" ref="AA21">IF(Y21&lt;&gt;"NIT","N/A",IF(OR(Z21="",Z21="N/A"),"N/A",IF(ISERROR(VALUE(IF(ISNUMBER(FIND("-",TEXT(Z21,"@"))),LEFT(TEXT(Z21,"@"),FIND("-",TEXT(Z21,"@"))-1),TEXT(Z21,"@")))),"N/A",IF(MOD(SUMPRODUCT(VALUE(MID(TEXT(VALUE(IF(ISNUMBER(FIND("-",TEXT(Z21,"@"))),LEFT(TEXT(Z21,"@"),FIND("-",TEXT(Z21,"@"))-1),TEXT(Z21,"@"))),"000000000000000"),{15,14,13,12,11,10,9,8,7,6,5,4,3,2,1},1)),{3,7,13,17,19,23,29,37,41,43,47,53,59,67,71}),11)=0,0,IF(MOD(SUMPRODUCT(VALUE(MID(TEXT(VALUE(IF(ISNUMBER(FIND("-",TEXT(Z21,"@"))),LEFT(TEXT(Z21,"@"),FIND("-",TEXT(Z21,"@"))-1),TEXT(Z21,"@"))),"000000000000000"),{15,14,13,12,11,10,9,8,7,6,5,4,3,2,1},1)),{3,7,13,17,19,23,29,37,41,43,47,53,59,67,71}),11)=1,1,11-MOD(SUMPRODUCT(VALUE(MID(TEXT(VALUE(IF(ISNUMBER(FIND("-",TEXT(Z21,"@"))),LEFT(TEXT(Z21,"@"),FIND("-",TEXT(Z21,"@"))-1),TEXT(Z21,"@"))),"000000000000000"),{15,14,13,12,11,10,9,8,7,6,5,4,3,2,1},1)),{3,7,13,17,19,23,29,37,41,43,47,53,59,67,71}),11))))))</f>
        <v>2</v>
      </c>
      <c r="AB21" s="26">
        <v>80121601</v>
      </c>
      <c r="AC21" s="29">
        <f t="shared" si="3"/>
        <v>338</v>
      </c>
      <c r="AD21" s="19">
        <v>4226</v>
      </c>
      <c r="AE21" s="19">
        <v>2926</v>
      </c>
      <c r="AF21" s="19" t="s">
        <v>39</v>
      </c>
    </row>
    <row r="22" spans="1:32" ht="61.5" customHeight="1" x14ac:dyDescent="0.35">
      <c r="A22" s="1" t="str">
        <f>[1]Contratos!A22</f>
        <v>CONTRATO 21 DE 2026</v>
      </c>
      <c r="B22" s="10" t="s">
        <v>85</v>
      </c>
      <c r="C22" s="10" t="str">
        <f>[1]Contratos!E22</f>
        <v>Prestación de servicios profesionales o Apoyo a la gestión</v>
      </c>
      <c r="D22" s="10" t="s">
        <v>86</v>
      </c>
      <c r="E22" s="11" t="str">
        <f>[1]Contratos!F22</f>
        <v>Prestación de servicios profesionales especializados para apoyar en el diseño, implementación y fortalecimiento de la política y la estrategia de gestión de conocimiento e innovación en el marco del Modelo Integrado de Planeación y Gestión (MIPG); la formulación y acompañamiento de procesos de innovación institucional y experimental, incluyendo la articulación con instituciones de educación superior y centros de investigación para el desarrollo de proyectos colaborativos y de investigación aplicada, en concordancia con la Agenda Regulatoria y el Plan de Acción de la CRC para el año 2026</v>
      </c>
      <c r="F22" s="12">
        <v>158829605</v>
      </c>
      <c r="G22" s="13">
        <f>[1]Contratos!G22</f>
        <v>158829605</v>
      </c>
      <c r="H22" s="14" t="str">
        <f>IFERROR(VLOOKUP(A22, [1]Otrosí!A:F, 6, FALSE), "0")</f>
        <v>0</v>
      </c>
      <c r="I22" s="13">
        <f t="shared" si="0"/>
        <v>158829605</v>
      </c>
      <c r="J22" s="15">
        <v>75962003</v>
      </c>
      <c r="K22" s="13">
        <f t="shared" si="1"/>
        <v>82867602</v>
      </c>
      <c r="L22" s="16">
        <f t="shared" si="2"/>
        <v>0.47826098289421548</v>
      </c>
      <c r="M22" s="17">
        <f>[1]Contratos!O22</f>
        <v>46037</v>
      </c>
      <c r="N22" s="17">
        <f>[1]Contratos!P22</f>
        <v>46038</v>
      </c>
      <c r="O22" s="17">
        <f>[1]Contratos!Q22</f>
        <v>46387</v>
      </c>
      <c r="P22" s="17" t="str">
        <f>IFERROR(VLOOKUP(A22, [1]Otrosí!A:L, 7, FALSE), "N/A")</f>
        <v>N/A</v>
      </c>
      <c r="Q22" s="18" t="s">
        <v>33</v>
      </c>
      <c r="R22" s="19" t="s">
        <v>34</v>
      </c>
      <c r="S22" s="20" t="s">
        <v>87</v>
      </c>
      <c r="T22" s="21" t="s">
        <v>36</v>
      </c>
      <c r="U22" s="10" t="str">
        <f>[1]Contratos!C22</f>
        <v>PN</v>
      </c>
      <c r="V22" s="10" t="str">
        <f>[1]Contratos!I22</f>
        <v>PROSPECTIVA ESTR. E INN / PEDAGOGÍA REGULATORIA</v>
      </c>
      <c r="W22" s="22" t="str">
        <f>[1]Contratos!J22</f>
        <v>VICTOR BALDRICH / RICARDO RAMÍREZ</v>
      </c>
      <c r="X22" s="23" t="str" cm="1">
        <f t="array" ref="X22">IFERROR(VLOOKUP(W22,[1]COORD!$A$30:$B$66, 2, FALSE),[1]COORD!$B$30:$B$66)</f>
        <v>1019105701 / 79444533</v>
      </c>
      <c r="Y22" s="24" t="s">
        <v>37</v>
      </c>
      <c r="Z22" s="25">
        <v>1088306511</v>
      </c>
      <c r="AA22" s="26" t="str" cm="1">
        <f t="array" ref="AA22">IF(Y22&lt;&gt;"NIT","N/A",IF(OR(Z22="",Z22="N/A"),"N/A",IF(ISERROR(VALUE(IF(ISNUMBER(FIND("-",TEXT(Z22,"@"))),LEFT(TEXT(Z22,"@"),FIND("-",TEXT(Z22,"@"))-1),TEXT(Z22,"@")))),"N/A",IF(MOD(SUMPRODUCT(VALUE(MID(TEXT(VALUE(IF(ISNUMBER(FIND("-",TEXT(Z22,"@"))),LEFT(TEXT(Z22,"@"),FIND("-",TEXT(Z22,"@"))-1),TEXT(Z22,"@"))),"000000000000000"),{15,14,13,12,11,10,9,8,7,6,5,4,3,2,1},1)),{3,7,13,17,19,23,29,37,41,43,47,53,59,67,71}),11)=0,0,IF(MOD(SUMPRODUCT(VALUE(MID(TEXT(VALUE(IF(ISNUMBER(FIND("-",TEXT(Z22,"@"))),LEFT(TEXT(Z22,"@"),FIND("-",TEXT(Z22,"@"))-1),TEXT(Z22,"@"))),"000000000000000"),{15,14,13,12,11,10,9,8,7,6,5,4,3,2,1},1)),{3,7,13,17,19,23,29,37,41,43,47,53,59,67,71}),11)=1,1,11-MOD(SUMPRODUCT(VALUE(MID(TEXT(VALUE(IF(ISNUMBER(FIND("-",TEXT(Z22,"@"))),LEFT(TEXT(Z22,"@"),FIND("-",TEXT(Z22,"@"))-1),TEXT(Z22,"@"))),"000000000000000"),{15,14,13,12,11,10,9,8,7,6,5,4,3,2,1},1)),{3,7,13,17,19,23,29,37,41,43,47,53,59,67,71}),11))))))</f>
        <v>N/A</v>
      </c>
      <c r="AB22" s="26">
        <v>80101505</v>
      </c>
      <c r="AC22" s="29">
        <f t="shared" si="3"/>
        <v>350</v>
      </c>
      <c r="AD22" s="19">
        <v>2626</v>
      </c>
      <c r="AE22" s="19">
        <v>5326</v>
      </c>
      <c r="AF22" s="19" t="s">
        <v>39</v>
      </c>
    </row>
    <row r="23" spans="1:32" ht="61.5" customHeight="1" x14ac:dyDescent="0.35">
      <c r="A23" s="1" t="str">
        <f>[1]Contratos!A23</f>
        <v>CONTRATO 22 DE 2026</v>
      </c>
      <c r="B23" s="10" t="s">
        <v>88</v>
      </c>
      <c r="C23" s="10" t="str">
        <f>[1]Contratos!E23</f>
        <v>Prestación de servicios profesionales o Apoyo a la gestión</v>
      </c>
      <c r="D23" s="10" t="s">
        <v>89</v>
      </c>
      <c r="E23" s="11" t="str">
        <f>[1]Contratos!F23</f>
        <v>Contratar la prestación de servicios profesionales especializados en derecho, con el fin de brindar apoyo jurídico integral a la CRC en el desarrollo de sus funciones misionales, particularmente aquellas asignadas a las Sesiones de Comisión de Comunicaciones y de Contenidos Audiovisuales</v>
      </c>
      <c r="F23" s="12">
        <v>243079000</v>
      </c>
      <c r="G23" s="13">
        <f>[1]Contratos!G23</f>
        <v>243079000</v>
      </c>
      <c r="H23" s="14" t="str">
        <f>IFERROR(VLOOKUP(A23, [1]Otrosí!A:F, 6, FALSE), "0")</f>
        <v>0</v>
      </c>
      <c r="I23" s="13">
        <f t="shared" si="0"/>
        <v>243079000</v>
      </c>
      <c r="J23" s="15">
        <v>113437336</v>
      </c>
      <c r="K23" s="13">
        <f t="shared" si="1"/>
        <v>129641664</v>
      </c>
      <c r="L23" s="16">
        <f t="shared" si="2"/>
        <v>0.46666859745185724</v>
      </c>
      <c r="M23" s="17">
        <f>[1]Contratos!O23</f>
        <v>46037</v>
      </c>
      <c r="N23" s="17">
        <f>[1]Contratos!P23</f>
        <v>46042</v>
      </c>
      <c r="O23" s="17">
        <f>[1]Contratos!Q23</f>
        <v>46387</v>
      </c>
      <c r="P23" s="17" t="str">
        <f>IFERROR(VLOOKUP(A23, [1]Otrosí!A:L, 7, FALSE), "N/A")</f>
        <v>N/A</v>
      </c>
      <c r="Q23" s="18" t="s">
        <v>33</v>
      </c>
      <c r="R23" s="19" t="s">
        <v>34</v>
      </c>
      <c r="S23" s="20" t="s">
        <v>90</v>
      </c>
      <c r="T23" s="21" t="s">
        <v>36</v>
      </c>
      <c r="U23" s="10" t="str">
        <f>[1]Contratos!C23</f>
        <v>PN</v>
      </c>
      <c r="V23" s="10" t="str">
        <f>[1]Contratos!I23</f>
        <v>GESTIÓN JURÍDICA</v>
      </c>
      <c r="W23" s="22" t="str">
        <f>[1]Contratos!J23</f>
        <v>VICTOR SANDOVAL</v>
      </c>
      <c r="X23" s="23" cm="1">
        <f t="array" ref="X23">IFERROR(VLOOKUP(W23,[1]COORD!$A$30:$B$66, 2, FALSE),[1]COORD!$B$30:$B$66)</f>
        <v>1026264211</v>
      </c>
      <c r="Y23" s="24" t="s">
        <v>37</v>
      </c>
      <c r="Z23" s="25">
        <v>52708167</v>
      </c>
      <c r="AA23" s="26" t="str" cm="1">
        <f t="array" ref="AA23">IF(Y23&lt;&gt;"NIT","N/A",IF(OR(Z23="",Z23="N/A"),"N/A",IF(ISERROR(VALUE(IF(ISNUMBER(FIND("-",TEXT(Z23,"@"))),LEFT(TEXT(Z23,"@"),FIND("-",TEXT(Z23,"@"))-1),TEXT(Z23,"@")))),"N/A",IF(MOD(SUMPRODUCT(VALUE(MID(TEXT(VALUE(IF(ISNUMBER(FIND("-",TEXT(Z23,"@"))),LEFT(TEXT(Z23,"@"),FIND("-",TEXT(Z23,"@"))-1),TEXT(Z23,"@"))),"000000000000000"),{15,14,13,12,11,10,9,8,7,6,5,4,3,2,1},1)),{3,7,13,17,19,23,29,37,41,43,47,53,59,67,71}),11)=0,0,IF(MOD(SUMPRODUCT(VALUE(MID(TEXT(VALUE(IF(ISNUMBER(FIND("-",TEXT(Z23,"@"))),LEFT(TEXT(Z23,"@"),FIND("-",TEXT(Z23,"@"))-1),TEXT(Z23,"@"))),"000000000000000"),{15,14,13,12,11,10,9,8,7,6,5,4,3,2,1},1)),{3,7,13,17,19,23,29,37,41,43,47,53,59,67,71}),11)=1,1,11-MOD(SUMPRODUCT(VALUE(MID(TEXT(VALUE(IF(ISNUMBER(FIND("-",TEXT(Z23,"@"))),LEFT(TEXT(Z23,"@"),FIND("-",TEXT(Z23,"@"))-1),TEXT(Z23,"@"))),"000000000000000"),{15,14,13,12,11,10,9,8,7,6,5,4,3,2,1},1)),{3,7,13,17,19,23,29,37,41,43,47,53,59,67,71}),11))))))</f>
        <v>N/A</v>
      </c>
      <c r="AB23" s="26">
        <v>80121601</v>
      </c>
      <c r="AC23" s="29">
        <f t="shared" si="3"/>
        <v>350</v>
      </c>
      <c r="AD23" s="19">
        <v>2426</v>
      </c>
      <c r="AE23" s="19">
        <v>6126</v>
      </c>
      <c r="AF23" s="19" t="s">
        <v>39</v>
      </c>
    </row>
    <row r="24" spans="1:32" ht="61.5" customHeight="1" x14ac:dyDescent="0.35">
      <c r="A24" s="1" t="str">
        <f>[1]Contratos!A24</f>
        <v>CONTRATO 23 DE 2026</v>
      </c>
      <c r="B24" s="10" t="s">
        <v>91</v>
      </c>
      <c r="C24" s="10" t="str">
        <f>[1]Contratos!E24</f>
        <v>Prestación de servicios profesionales o Apoyo a la gestión</v>
      </c>
      <c r="D24" s="10" t="s">
        <v>92</v>
      </c>
      <c r="E24" s="11" t="str">
        <f>[1]Contratos!F24</f>
        <v>Prestación de servicios profesionales en materia de diseño e implementación de la política y la estrategia de gestión del conocimiento y la innovación alineada con MIPG, diseño y desarrollo de estrategias de pedagogía regulatoria y definición de acciones para adelantar actividades de investigación aplicada, de acuerdo con el Plan de Acción institucional para la vigencia 2026</v>
      </c>
      <c r="F24" s="12">
        <v>59225000</v>
      </c>
      <c r="G24" s="13">
        <f>[1]Contratos!G24</f>
        <v>59225000</v>
      </c>
      <c r="H24" s="14" t="str">
        <f>IFERROR(VLOOKUP(A24, [1]Otrosí!A:F, 6, FALSE), "0")</f>
        <v>0</v>
      </c>
      <c r="I24" s="13">
        <f t="shared" si="0"/>
        <v>59225000</v>
      </c>
      <c r="J24" s="15">
        <v>28325000</v>
      </c>
      <c r="K24" s="13">
        <f t="shared" si="1"/>
        <v>30900000</v>
      </c>
      <c r="L24" s="16">
        <f t="shared" si="2"/>
        <v>0.47826086956521741</v>
      </c>
      <c r="M24" s="17">
        <f>[1]Contratos!O24</f>
        <v>46038</v>
      </c>
      <c r="N24" s="17">
        <f>[1]Contratos!P24</f>
        <v>46038</v>
      </c>
      <c r="O24" s="17">
        <f>[1]Contratos!Q24</f>
        <v>46387</v>
      </c>
      <c r="P24" s="17" t="str">
        <f>IFERROR(VLOOKUP(A24, [1]Otrosí!A:L, 7, FALSE), "N/A")</f>
        <v>N/A</v>
      </c>
      <c r="Q24" s="18" t="s">
        <v>33</v>
      </c>
      <c r="R24" s="19" t="s">
        <v>34</v>
      </c>
      <c r="S24" s="20" t="s">
        <v>93</v>
      </c>
      <c r="T24" s="21" t="s">
        <v>36</v>
      </c>
      <c r="U24" s="10" t="str">
        <f>[1]Contratos!C24</f>
        <v>PN</v>
      </c>
      <c r="V24" s="10" t="str">
        <f>[1]Contratos!I24</f>
        <v>PROSPECTIVA ESTRATÉGICA</v>
      </c>
      <c r="W24" s="22" t="str">
        <f>[1]Contratos!J24</f>
        <v>VICTOR BALDRICH</v>
      </c>
      <c r="X24" s="23" cm="1">
        <f t="array" ref="X24">IFERROR(VLOOKUP(W24,[1]COORD!$A$30:$B$66, 2, FALSE),[1]COORD!$B$30:$B$66)</f>
        <v>1019105701</v>
      </c>
      <c r="Y24" s="24" t="s">
        <v>37</v>
      </c>
      <c r="Z24" s="25">
        <v>1000137216</v>
      </c>
      <c r="AA24" s="26" t="str" cm="1">
        <f t="array" ref="AA24">IF(Y24&lt;&gt;"NIT","N/A",IF(OR(Z24="",Z24="N/A"),"N/A",IF(ISERROR(VALUE(IF(ISNUMBER(FIND("-",TEXT(Z24,"@"))),LEFT(TEXT(Z24,"@"),FIND("-",TEXT(Z24,"@"))-1),TEXT(Z24,"@")))),"N/A",IF(MOD(SUMPRODUCT(VALUE(MID(TEXT(VALUE(IF(ISNUMBER(FIND("-",TEXT(Z24,"@"))),LEFT(TEXT(Z24,"@"),FIND("-",TEXT(Z24,"@"))-1),TEXT(Z24,"@"))),"000000000000000"),{15,14,13,12,11,10,9,8,7,6,5,4,3,2,1},1)),{3,7,13,17,19,23,29,37,41,43,47,53,59,67,71}),11)=0,0,IF(MOD(SUMPRODUCT(VALUE(MID(TEXT(VALUE(IF(ISNUMBER(FIND("-",TEXT(Z24,"@"))),LEFT(TEXT(Z24,"@"),FIND("-",TEXT(Z24,"@"))-1),TEXT(Z24,"@"))),"000000000000000"),{15,14,13,12,11,10,9,8,7,6,5,4,3,2,1},1)),{3,7,13,17,19,23,29,37,41,43,47,53,59,67,71}),11)=1,1,11-MOD(SUMPRODUCT(VALUE(MID(TEXT(VALUE(IF(ISNUMBER(FIND("-",TEXT(Z24,"@"))),LEFT(TEXT(Z24,"@"),FIND("-",TEXT(Z24,"@"))-1),TEXT(Z24,"@"))),"000000000000000"),{15,14,13,12,11,10,9,8,7,6,5,4,3,2,1},1)),{3,7,13,17,19,23,29,37,41,43,47,53,59,67,71}),11))))))</f>
        <v>N/A</v>
      </c>
      <c r="AB24" s="26">
        <v>80101505</v>
      </c>
      <c r="AC24" s="29">
        <f t="shared" si="3"/>
        <v>349</v>
      </c>
      <c r="AD24" s="19">
        <v>2326</v>
      </c>
      <c r="AE24" s="19">
        <v>5726</v>
      </c>
      <c r="AF24" s="19" t="s">
        <v>39</v>
      </c>
    </row>
    <row r="25" spans="1:32" ht="61.5" customHeight="1" x14ac:dyDescent="0.35">
      <c r="A25" s="1" t="str">
        <f>[1]Contratos!A25</f>
        <v>CONTRATO 24 DE 2026</v>
      </c>
      <c r="B25" s="10" t="s">
        <v>94</v>
      </c>
      <c r="C25" s="10" t="str">
        <f>[1]Contratos!E25</f>
        <v>Prestación de servicios profesionales o Apoyo a la gestión</v>
      </c>
      <c r="D25" s="10" t="s">
        <v>95</v>
      </c>
      <c r="E25" s="11" t="str">
        <f>[1]Contratos!F25</f>
        <v>prestación de servicios profesionales para brindar apoyo jurídico en el desarrollo de actividades misionales de la CRC, principalmente las asociadas a la revisión del marco regulatorio sobre el pluralismo y la imparcialidad informativos, la reglamentación de la Ley 2489 de 2025,  la implementación de acciones de inspección, vigilancia y control de contenidos y la protección de los derechos de los televidentes, en el marco de los proyectos contemplados en la Agenda Regulatoria y el Plan de Acción 2026.</v>
      </c>
      <c r="F25" s="12">
        <v>138112700</v>
      </c>
      <c r="G25" s="13">
        <f>[1]Contratos!G25</f>
        <v>138112700</v>
      </c>
      <c r="H25" s="14" t="str">
        <f>IFERROR(VLOOKUP(A25, [1]Otrosí!A:F, 6, FALSE), "0")</f>
        <v>0</v>
      </c>
      <c r="I25" s="13">
        <f t="shared" si="0"/>
        <v>138112700</v>
      </c>
      <c r="J25" s="15">
        <v>78063700</v>
      </c>
      <c r="K25" s="13">
        <f t="shared" si="1"/>
        <v>60049000</v>
      </c>
      <c r="L25" s="16">
        <f t="shared" si="2"/>
        <v>0.56521739130434778</v>
      </c>
      <c r="M25" s="17">
        <f>[1]Contratos!O25</f>
        <v>46036</v>
      </c>
      <c r="N25" s="17">
        <f>[1]Contratos!P25</f>
        <v>46038</v>
      </c>
      <c r="O25" s="17">
        <f>[1]Contratos!Q25</f>
        <v>46387</v>
      </c>
      <c r="P25" s="17" t="str">
        <f>IFERROR(VLOOKUP(A25, [1]Otrosí!A:L, 7, FALSE), "N/A")</f>
        <v>N/A</v>
      </c>
      <c r="Q25" s="18" t="s">
        <v>33</v>
      </c>
      <c r="R25" s="19" t="s">
        <v>34</v>
      </c>
      <c r="S25" s="20" t="s">
        <v>96</v>
      </c>
      <c r="T25" s="21" t="s">
        <v>36</v>
      </c>
      <c r="U25" s="10" t="str">
        <f>[1]Contratos!C25</f>
        <v>PN</v>
      </c>
      <c r="V25" s="10" t="str">
        <f>[1]Contratos!I25</f>
        <v>GESTIÓN JURÍDICA / PEDAGOGÍA REGULATORIA</v>
      </c>
      <c r="W25" s="22" t="str">
        <f>[1]Contratos!J25</f>
        <v>VICTOR SANDOVAL /RICARDO RAMÍREZ</v>
      </c>
      <c r="X25" s="23" t="str" cm="1">
        <f t="array" ref="X25">IFERROR(VLOOKUP(W25,[1]COORD!$A$30:$B$66, 2, FALSE),[1]COORD!$B$30:$B$66)</f>
        <v>1026264211 / 79444533</v>
      </c>
      <c r="Y25" s="24" t="s">
        <v>37</v>
      </c>
      <c r="Z25" s="25">
        <v>37088350</v>
      </c>
      <c r="AA25" s="26" t="str" cm="1">
        <f t="array" ref="AA25">IF(Y25&lt;&gt;"NIT","N/A",IF(OR(Z25="",Z25="N/A"),"N/A",IF(ISERROR(VALUE(IF(ISNUMBER(FIND("-",TEXT(Z25,"@"))),LEFT(TEXT(Z25,"@"),FIND("-",TEXT(Z25,"@"))-1),TEXT(Z25,"@")))),"N/A",IF(MOD(SUMPRODUCT(VALUE(MID(TEXT(VALUE(IF(ISNUMBER(FIND("-",TEXT(Z25,"@"))),LEFT(TEXT(Z25,"@"),FIND("-",TEXT(Z25,"@"))-1),TEXT(Z25,"@"))),"000000000000000"),{15,14,13,12,11,10,9,8,7,6,5,4,3,2,1},1)),{3,7,13,17,19,23,29,37,41,43,47,53,59,67,71}),11)=0,0,IF(MOD(SUMPRODUCT(VALUE(MID(TEXT(VALUE(IF(ISNUMBER(FIND("-",TEXT(Z25,"@"))),LEFT(TEXT(Z25,"@"),FIND("-",TEXT(Z25,"@"))-1),TEXT(Z25,"@"))),"000000000000000"),{15,14,13,12,11,10,9,8,7,6,5,4,3,2,1},1)),{3,7,13,17,19,23,29,37,41,43,47,53,59,67,71}),11)=1,1,11-MOD(SUMPRODUCT(VALUE(MID(TEXT(VALUE(IF(ISNUMBER(FIND("-",TEXT(Z25,"@"))),LEFT(TEXT(Z25,"@"),FIND("-",TEXT(Z25,"@"))-1),TEXT(Z25,"@"))),"000000000000000"),{15,14,13,12,11,10,9,8,7,6,5,4,3,2,1},1)),{3,7,13,17,19,23,29,37,41,43,47,53,59,67,71}),11))))))</f>
        <v>N/A</v>
      </c>
      <c r="AB25" s="26">
        <v>80121601</v>
      </c>
      <c r="AC25" s="29">
        <f t="shared" si="3"/>
        <v>351</v>
      </c>
      <c r="AD25" s="19">
        <v>4526</v>
      </c>
      <c r="AE25" s="19">
        <v>3626</v>
      </c>
      <c r="AF25" s="19" t="s">
        <v>39</v>
      </c>
    </row>
    <row r="26" spans="1:32" ht="61.5" customHeight="1" x14ac:dyDescent="0.35">
      <c r="A26" s="1" t="str">
        <f>[1]Contratos!A26</f>
        <v>CONTRATO 25 DE 2026</v>
      </c>
      <c r="B26" s="10" t="s">
        <v>97</v>
      </c>
      <c r="C26" s="10" t="str">
        <f>[1]Contratos!E26</f>
        <v>Prestación de servicios profesionales o Apoyo a la gestión</v>
      </c>
      <c r="D26" s="10" t="s">
        <v>98</v>
      </c>
      <c r="E26" s="11" t="s">
        <v>99</v>
      </c>
      <c r="F26" s="12">
        <v>193794500</v>
      </c>
      <c r="G26" s="13">
        <f>[1]Contratos!G26</f>
        <v>193794500</v>
      </c>
      <c r="H26" s="14" t="str">
        <f>IFERROR(VLOOKUP(A26, [1]Otrosí!A:F, 6, FALSE), "0")</f>
        <v>0</v>
      </c>
      <c r="I26" s="13">
        <f t="shared" si="0"/>
        <v>193794500</v>
      </c>
      <c r="J26" s="15">
        <v>83719224</v>
      </c>
      <c r="K26" s="13">
        <f t="shared" si="1"/>
        <v>110075276</v>
      </c>
      <c r="L26" s="16">
        <f t="shared" si="2"/>
        <v>0.432</v>
      </c>
      <c r="M26" s="17">
        <f>[1]Contratos!O26</f>
        <v>46038</v>
      </c>
      <c r="N26" s="17">
        <f>[1]Contratos!P26</f>
        <v>46045</v>
      </c>
      <c r="O26" s="17">
        <f>[1]Contratos!Q26</f>
        <v>46387</v>
      </c>
      <c r="P26" s="17" t="str">
        <f>IFERROR(VLOOKUP(A26, [1]Otrosí!A:L, 7, FALSE), "N/A")</f>
        <v>N/A</v>
      </c>
      <c r="Q26" s="18" t="s">
        <v>33</v>
      </c>
      <c r="R26" s="19" t="s">
        <v>34</v>
      </c>
      <c r="S26" s="20" t="s">
        <v>100</v>
      </c>
      <c r="T26" s="21" t="s">
        <v>36</v>
      </c>
      <c r="U26" s="10" t="str">
        <f>[1]Contratos!C26</f>
        <v>PN</v>
      </c>
      <c r="V26" s="10" t="str">
        <f>[1]Contratos!I26</f>
        <v>GESTIÓN JURÍDICA</v>
      </c>
      <c r="W26" s="22" t="str">
        <f>[1]Contratos!J26</f>
        <v>VICTOR SANDOVAL</v>
      </c>
      <c r="X26" s="23" cm="1">
        <f t="array" ref="X26">IFERROR(VLOOKUP(W26,[1]COORD!$A$30:$B$66, 2, FALSE),[1]COORD!$B$30:$B$66)</f>
        <v>1026264211</v>
      </c>
      <c r="Y26" s="24" t="s">
        <v>37</v>
      </c>
      <c r="Z26" s="25">
        <v>79782673</v>
      </c>
      <c r="AA26" s="26" t="str" cm="1">
        <f t="array" ref="AA26">IF(Y26&lt;&gt;"NIT","N/A",IF(OR(Z26="",Z26="N/A"),"N/A",IF(ISERROR(VALUE(IF(ISNUMBER(FIND("-",TEXT(Z26,"@"))),LEFT(TEXT(Z26,"@"),FIND("-",TEXT(Z26,"@"))-1),TEXT(Z26,"@")))),"N/A",IF(MOD(SUMPRODUCT(VALUE(MID(TEXT(VALUE(IF(ISNUMBER(FIND("-",TEXT(Z26,"@"))),LEFT(TEXT(Z26,"@"),FIND("-",TEXT(Z26,"@"))-1),TEXT(Z26,"@"))),"000000000000000"),{15,14,13,12,11,10,9,8,7,6,5,4,3,2,1},1)),{3,7,13,17,19,23,29,37,41,43,47,53,59,67,71}),11)=0,0,IF(MOD(SUMPRODUCT(VALUE(MID(TEXT(VALUE(IF(ISNUMBER(FIND("-",TEXT(Z26,"@"))),LEFT(TEXT(Z26,"@"),FIND("-",TEXT(Z26,"@"))-1),TEXT(Z26,"@"))),"000000000000000"),{15,14,13,12,11,10,9,8,7,6,5,4,3,2,1},1)),{3,7,13,17,19,23,29,37,41,43,47,53,59,67,71}),11)=1,1,11-MOD(SUMPRODUCT(VALUE(MID(TEXT(VALUE(IF(ISNUMBER(FIND("-",TEXT(Z26,"@"))),LEFT(TEXT(Z26,"@"),FIND("-",TEXT(Z26,"@"))-1),TEXT(Z26,"@"))),"000000000000000"),{15,14,13,12,11,10,9,8,7,6,5,4,3,2,1},1)),{3,7,13,17,19,23,29,37,41,43,47,53,59,67,71}),11))))))</f>
        <v>N/A</v>
      </c>
      <c r="AB26" s="26">
        <v>81121500</v>
      </c>
      <c r="AC26" s="29">
        <f t="shared" si="3"/>
        <v>349</v>
      </c>
      <c r="AD26" s="19">
        <v>3826</v>
      </c>
      <c r="AE26" s="19">
        <v>5826</v>
      </c>
      <c r="AF26" s="19" t="s">
        <v>39</v>
      </c>
    </row>
    <row r="27" spans="1:32" ht="61.5" customHeight="1" x14ac:dyDescent="0.35">
      <c r="A27" s="1" t="str">
        <f>[1]Contratos!A27</f>
        <v>CONTRATO 26 DE 2026</v>
      </c>
      <c r="B27" s="10" t="str">
        <f>[1]Contratos!B27</f>
        <v>TACHYON  CONSULTORES SAS</v>
      </c>
      <c r="C27" s="10" t="str">
        <f>[1]Contratos!E27</f>
        <v>Prestación de servicios profesionales o Apoyo a la gestión</v>
      </c>
      <c r="D27" s="10" t="s">
        <v>101</v>
      </c>
      <c r="E27" s="11" t="str">
        <f>[1]Contratos!F27</f>
        <v>Prestación de servicios profesionales altamente especializados en ingeniería para apoyar técnicamente el desarrollo y análisis de los proyectos regulatorios de la Comisión de Regulación de Comunicaciones en el marco del Plan de Acción 2026 y la Agenda Regulatoria 2026-2027. Este apoyo incluirá actividades técnicas en materia de acceso e interconexión, dimensionamiento y estimación de tráfico, análisis de calidad de los servicios fijos y móviles, evaluación de infraestructura y capacidad de red, estudio del impacto del tráfico de plataformas OTT, análisis de eficiencia espectral, remuneración y cargos de acceso, así como la elaboración de insumos técnicos que soporten decisiones regulatorias</v>
      </c>
      <c r="F27" s="12">
        <v>488766000</v>
      </c>
      <c r="G27" s="13">
        <f>[1]Contratos!G27</f>
        <v>488766000</v>
      </c>
      <c r="H27" s="14" t="str">
        <f>IFERROR(VLOOKUP(A27, [1]Otrosí!A:F, 6, FALSE), "0")</f>
        <v>0</v>
      </c>
      <c r="I27" s="13">
        <f t="shared" si="0"/>
        <v>488766000</v>
      </c>
      <c r="J27" s="15">
        <v>440044175</v>
      </c>
      <c r="K27" s="13">
        <f t="shared" si="1"/>
        <v>48721825</v>
      </c>
      <c r="L27" s="16">
        <f t="shared" si="2"/>
        <v>0.90031666482529471</v>
      </c>
      <c r="M27" s="17">
        <f>[1]Contratos!O27</f>
        <v>46041</v>
      </c>
      <c r="N27" s="17">
        <f>[1]Contratos!P27</f>
        <v>46048</v>
      </c>
      <c r="O27" s="17">
        <f>[1]Contratos!Q27</f>
        <v>46387</v>
      </c>
      <c r="P27" s="17" t="str">
        <f>IFERROR(VLOOKUP(A27, [1]Otrosí!A:L, 7, FALSE), "N/A")</f>
        <v>N/A</v>
      </c>
      <c r="Q27" s="18" t="s">
        <v>33</v>
      </c>
      <c r="R27" s="19" t="s">
        <v>34</v>
      </c>
      <c r="S27" s="20" t="s">
        <v>102</v>
      </c>
      <c r="T27" s="21" t="s">
        <v>36</v>
      </c>
      <c r="U27" s="10" t="str">
        <f>[1]Contratos!C27</f>
        <v>PJ</v>
      </c>
      <c r="V27" s="10" t="str">
        <f>[1]Contratos!I27</f>
        <v>DISEÑO REGULATORIO / GESTIÓN JURÍDICA</v>
      </c>
      <c r="W27" s="22" t="str">
        <f>[1]Contratos!J27</f>
        <v>ALEJANDRA ARENAS / VICTOR SANDOVAL</v>
      </c>
      <c r="X27" s="23" t="str" cm="1">
        <f t="array" ref="X27">IFERROR(VLOOKUP(W27,[1]COORD!$A$30:$B$66, 2, FALSE),[1]COORD!$B$30:$B$66)</f>
        <v>1020749984 / 1026264211</v>
      </c>
      <c r="Y27" s="24" t="s">
        <v>75</v>
      </c>
      <c r="Z27" s="25">
        <v>900247322</v>
      </c>
      <c r="AA27" s="26" cm="1">
        <f t="array" ref="AA27">IF(Y27&lt;&gt;"NIT","N/A",IF(OR(Z27="",Z27="N/A"),"N/A",IF(ISERROR(VALUE(IF(ISNUMBER(FIND("-",TEXT(Z27,"@"))),LEFT(TEXT(Z27,"@"),FIND("-",TEXT(Z27,"@"))-1),TEXT(Z27,"@")))),"N/A",IF(MOD(SUMPRODUCT(VALUE(MID(TEXT(VALUE(IF(ISNUMBER(FIND("-",TEXT(Z27,"@"))),LEFT(TEXT(Z27,"@"),FIND("-",TEXT(Z27,"@"))-1),TEXT(Z27,"@"))),"000000000000000"),{15,14,13,12,11,10,9,8,7,6,5,4,3,2,1},1)),{3,7,13,17,19,23,29,37,41,43,47,53,59,67,71}),11)=0,0,IF(MOD(SUMPRODUCT(VALUE(MID(TEXT(VALUE(IF(ISNUMBER(FIND("-",TEXT(Z27,"@"))),LEFT(TEXT(Z27,"@"),FIND("-",TEXT(Z27,"@"))-1),TEXT(Z27,"@"))),"000000000000000"),{15,14,13,12,11,10,9,8,7,6,5,4,3,2,1},1)),{3,7,13,17,19,23,29,37,41,43,47,53,59,67,71}),11)=1,1,11-MOD(SUMPRODUCT(VALUE(MID(TEXT(VALUE(IF(ISNUMBER(FIND("-",TEXT(Z27,"@"))),LEFT(TEXT(Z27,"@"),FIND("-",TEXT(Z27,"@"))-1),TEXT(Z27,"@"))),"000000000000000"),{15,14,13,12,11,10,9,8,7,6,5,4,3,2,1},1)),{3,7,13,17,19,23,29,37,41,43,47,53,59,67,71}),11))))))</f>
        <v>2</v>
      </c>
      <c r="AB27" s="26">
        <v>81101700</v>
      </c>
      <c r="AC27" s="29">
        <f t="shared" si="3"/>
        <v>346</v>
      </c>
      <c r="AD27" s="19">
        <v>4326</v>
      </c>
      <c r="AE27" s="19">
        <v>6826</v>
      </c>
      <c r="AF27" s="19" t="s">
        <v>39</v>
      </c>
    </row>
    <row r="28" spans="1:32" ht="61.5" customHeight="1" x14ac:dyDescent="0.35">
      <c r="A28" s="1" t="str">
        <f>[1]Contratos!A28</f>
        <v>CONTRATO 27 DE 2026</v>
      </c>
      <c r="B28" s="10" t="str">
        <f>[1]Contratos!B28</f>
        <v>JAIRO MONTEALEGRE</v>
      </c>
      <c r="C28" s="10" t="str">
        <f>[1]Contratos!E28</f>
        <v>Prestación de servicios profesionales o Apoyo a la gestión</v>
      </c>
      <c r="D28" s="10" t="s">
        <v>103</v>
      </c>
      <c r="E28" s="11" t="str">
        <f>[1]Contratos!F28</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
      <c r="F28" s="12">
        <v>157074000</v>
      </c>
      <c r="G28" s="13">
        <f>[1]Contratos!G28</f>
        <v>157074000</v>
      </c>
      <c r="H28" s="14" t="str">
        <f>IFERROR(VLOOKUP(A28, [1]Otrosí!A:F, 6, FALSE), "0")</f>
        <v>0</v>
      </c>
      <c r="I28" s="13">
        <f t="shared" si="0"/>
        <v>157074000</v>
      </c>
      <c r="J28" s="15">
        <v>88780952</v>
      </c>
      <c r="K28" s="13">
        <f t="shared" si="1"/>
        <v>68293048</v>
      </c>
      <c r="L28" s="16">
        <f t="shared" si="2"/>
        <v>0.56521736251703014</v>
      </c>
      <c r="M28" s="17">
        <f>[1]Contratos!O28</f>
        <v>46037</v>
      </c>
      <c r="N28" s="17">
        <f>[1]Contratos!P28</f>
        <v>46038</v>
      </c>
      <c r="O28" s="17">
        <f>[1]Contratos!Q28</f>
        <v>46387</v>
      </c>
      <c r="P28" s="17" t="str">
        <f>IFERROR(VLOOKUP(A28, [1]Otrosí!A:L, 7, FALSE), "N/A")</f>
        <v>N/A</v>
      </c>
      <c r="Q28" s="18" t="s">
        <v>33</v>
      </c>
      <c r="R28" s="19" t="s">
        <v>34</v>
      </c>
      <c r="S28" s="20" t="s">
        <v>104</v>
      </c>
      <c r="T28" s="21" t="s">
        <v>36</v>
      </c>
      <c r="U28" s="10" t="str">
        <f>[1]Contratos!C28</f>
        <v>PN</v>
      </c>
      <c r="V28" s="10" t="str">
        <f>[1]Contratos!I28</f>
        <v>TECNOLOGÍAS Y SIST. DE INF.</v>
      </c>
      <c r="W28" s="22" t="str">
        <f>[1]Contratos!J28</f>
        <v>INGRID PICÓN</v>
      </c>
      <c r="X28" s="23" cm="1">
        <f t="array" ref="X28">IFERROR(VLOOKUP(W28,[1]COORD!$A$30:$B$66, 2, FALSE),[1]COORD!$B$30:$B$66)</f>
        <v>60372503</v>
      </c>
      <c r="Y28" s="24" t="s">
        <v>37</v>
      </c>
      <c r="Z28" s="25">
        <v>79652208</v>
      </c>
      <c r="AA28" s="26" t="str" cm="1">
        <f t="array" ref="AA28">IF(Y28&lt;&gt;"NIT","N/A",IF(OR(Z28="",Z28="N/A"),"N/A",IF(ISERROR(VALUE(IF(ISNUMBER(FIND("-",TEXT(Z28,"@"))),LEFT(TEXT(Z28,"@"),FIND("-",TEXT(Z28,"@"))-1),TEXT(Z28,"@")))),"N/A",IF(MOD(SUMPRODUCT(VALUE(MID(TEXT(VALUE(IF(ISNUMBER(FIND("-",TEXT(Z28,"@"))),LEFT(TEXT(Z28,"@"),FIND("-",TEXT(Z28,"@"))-1),TEXT(Z28,"@"))),"000000000000000"),{15,14,13,12,11,10,9,8,7,6,5,4,3,2,1},1)),{3,7,13,17,19,23,29,37,41,43,47,53,59,67,71}),11)=0,0,IF(MOD(SUMPRODUCT(VALUE(MID(TEXT(VALUE(IF(ISNUMBER(FIND("-",TEXT(Z28,"@"))),LEFT(TEXT(Z28,"@"),FIND("-",TEXT(Z28,"@"))-1),TEXT(Z28,"@"))),"000000000000000"),{15,14,13,12,11,10,9,8,7,6,5,4,3,2,1},1)),{3,7,13,17,19,23,29,37,41,43,47,53,59,67,71}),11)=1,1,11-MOD(SUMPRODUCT(VALUE(MID(TEXT(VALUE(IF(ISNUMBER(FIND("-",TEXT(Z28,"@"))),LEFT(TEXT(Z28,"@"),FIND("-",TEXT(Z28,"@"))-1),TEXT(Z28,"@"))),"000000000000000"),{15,14,13,12,11,10,9,8,7,6,5,4,3,2,1},1)),{3,7,13,17,19,23,29,37,41,43,47,53,59,67,71}),11))))))</f>
        <v>N/A</v>
      </c>
      <c r="AB28" s="26">
        <v>81111507</v>
      </c>
      <c r="AC28" s="29">
        <f t="shared" si="3"/>
        <v>350</v>
      </c>
      <c r="AD28" s="19">
        <v>2826</v>
      </c>
      <c r="AE28" s="19">
        <v>4526</v>
      </c>
      <c r="AF28" s="19" t="s">
        <v>39</v>
      </c>
    </row>
    <row r="29" spans="1:32" ht="61.5" customHeight="1" x14ac:dyDescent="0.35">
      <c r="A29" s="1" t="str">
        <f>[1]Contratos!A29</f>
        <v>CONTRATO 28 DE 2026</v>
      </c>
      <c r="B29" s="10" t="str">
        <f>[1]Contratos!B29</f>
        <v>WILMER ALEJANDRO OSORIO</v>
      </c>
      <c r="C29" s="10" t="str">
        <f>[1]Contratos!E29</f>
        <v>Prestación de servicios profesionales o Apoyo a la gestión</v>
      </c>
      <c r="D29" s="10" t="s">
        <v>105</v>
      </c>
      <c r="E29" s="11" t="str">
        <f>[1]Contratos!F29</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
      <c r="F29" s="12">
        <v>157074000</v>
      </c>
      <c r="G29" s="13">
        <f>[1]Contratos!G29</f>
        <v>157074000</v>
      </c>
      <c r="H29" s="14" t="str">
        <f>IFERROR(VLOOKUP(A29, [1]Otrosí!A:F, 6, FALSE), "0")</f>
        <v>0</v>
      </c>
      <c r="I29" s="13">
        <f t="shared" si="0"/>
        <v>157074000</v>
      </c>
      <c r="J29" s="15">
        <v>88780952</v>
      </c>
      <c r="K29" s="13">
        <f t="shared" si="1"/>
        <v>68293048</v>
      </c>
      <c r="L29" s="16">
        <f t="shared" si="2"/>
        <v>0.56521736251703014</v>
      </c>
      <c r="M29" s="17">
        <f>[1]Contratos!O29</f>
        <v>46037</v>
      </c>
      <c r="N29" s="17">
        <f>[1]Contratos!P29</f>
        <v>46038</v>
      </c>
      <c r="O29" s="17">
        <f>[1]Contratos!Q29</f>
        <v>46387</v>
      </c>
      <c r="P29" s="17" t="str">
        <f>IFERROR(VLOOKUP(A29, [1]Otrosí!A:L, 7, FALSE), "N/A")</f>
        <v>N/A</v>
      </c>
      <c r="Q29" s="18" t="s">
        <v>33</v>
      </c>
      <c r="R29" s="19" t="s">
        <v>34</v>
      </c>
      <c r="S29" s="20" t="s">
        <v>106</v>
      </c>
      <c r="T29" s="21" t="s">
        <v>36</v>
      </c>
      <c r="U29" s="10" t="str">
        <f>[1]Contratos!C29</f>
        <v>PN</v>
      </c>
      <c r="V29" s="10" t="str">
        <f>[1]Contratos!I29</f>
        <v>TECNOLOGÍAS Y SIST. DE INF.</v>
      </c>
      <c r="W29" s="22" t="str">
        <f>[1]Contratos!J29</f>
        <v>INGRID PICÓN</v>
      </c>
      <c r="X29" s="23" cm="1">
        <f t="array" ref="X29">IFERROR(VLOOKUP(W29,[1]COORD!$A$30:$B$66, 2, FALSE),[1]COORD!$B$30:$B$66)</f>
        <v>60372503</v>
      </c>
      <c r="Y29" s="24" t="s">
        <v>37</v>
      </c>
      <c r="Z29" s="25">
        <v>1075229443</v>
      </c>
      <c r="AA29" s="26" t="str" cm="1">
        <f t="array" ref="AA29">IF(Y29&lt;&gt;"NIT","N/A",IF(OR(Z29="",Z29="N/A"),"N/A",IF(ISERROR(VALUE(IF(ISNUMBER(FIND("-",TEXT(Z29,"@"))),LEFT(TEXT(Z29,"@"),FIND("-",TEXT(Z29,"@"))-1),TEXT(Z29,"@")))),"N/A",IF(MOD(SUMPRODUCT(VALUE(MID(TEXT(VALUE(IF(ISNUMBER(FIND("-",TEXT(Z29,"@"))),LEFT(TEXT(Z29,"@"),FIND("-",TEXT(Z29,"@"))-1),TEXT(Z29,"@"))),"000000000000000"),{15,14,13,12,11,10,9,8,7,6,5,4,3,2,1},1)),{3,7,13,17,19,23,29,37,41,43,47,53,59,67,71}),11)=0,0,IF(MOD(SUMPRODUCT(VALUE(MID(TEXT(VALUE(IF(ISNUMBER(FIND("-",TEXT(Z29,"@"))),LEFT(TEXT(Z29,"@"),FIND("-",TEXT(Z29,"@"))-1),TEXT(Z29,"@"))),"000000000000000"),{15,14,13,12,11,10,9,8,7,6,5,4,3,2,1},1)),{3,7,13,17,19,23,29,37,41,43,47,53,59,67,71}),11)=1,1,11-MOD(SUMPRODUCT(VALUE(MID(TEXT(VALUE(IF(ISNUMBER(FIND("-",TEXT(Z29,"@"))),LEFT(TEXT(Z29,"@"),FIND("-",TEXT(Z29,"@"))-1),TEXT(Z29,"@"))),"000000000000000"),{15,14,13,12,11,10,9,8,7,6,5,4,3,2,1},1)),{3,7,13,17,19,23,29,37,41,43,47,53,59,67,71}),11))))))</f>
        <v>N/A</v>
      </c>
      <c r="AB29" s="26">
        <v>81111508</v>
      </c>
      <c r="AC29" s="29">
        <f t="shared" si="3"/>
        <v>350</v>
      </c>
      <c r="AD29" s="19">
        <v>2726</v>
      </c>
      <c r="AE29" s="19">
        <v>4626</v>
      </c>
      <c r="AF29" s="19" t="s">
        <v>39</v>
      </c>
    </row>
    <row r="30" spans="1:32" ht="61.5" customHeight="1" x14ac:dyDescent="0.35">
      <c r="A30" s="1" t="str">
        <f>[1]Contratos!A30</f>
        <v>CONTRATO 29 DE 2026</v>
      </c>
      <c r="B30" s="10" t="str">
        <f>[1]Contratos!B30</f>
        <v xml:space="preserve">OMAR DUARTE </v>
      </c>
      <c r="C30" s="10" t="str">
        <f>[1]Contratos!E30</f>
        <v>Prestación de servicios profesionales o Apoyo a la gestión</v>
      </c>
      <c r="D30" s="10" t="s">
        <v>107</v>
      </c>
      <c r="E30" s="11" t="str">
        <f>[1]Contratos!F30</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
      <c r="F30" s="12">
        <v>157074000</v>
      </c>
      <c r="G30" s="13">
        <f>[1]Contratos!G30</f>
        <v>157074000</v>
      </c>
      <c r="H30" s="14" t="str">
        <f>IFERROR(VLOOKUP(A30, [1]Otrosí!A:F, 6, FALSE), "0")</f>
        <v>0</v>
      </c>
      <c r="I30" s="13">
        <f t="shared" si="0"/>
        <v>157074000</v>
      </c>
      <c r="J30" s="15">
        <v>88780952</v>
      </c>
      <c r="K30" s="13">
        <f t="shared" si="1"/>
        <v>68293048</v>
      </c>
      <c r="L30" s="16">
        <f t="shared" si="2"/>
        <v>0.56521736251703014</v>
      </c>
      <c r="M30" s="17">
        <f>[1]Contratos!O30</f>
        <v>46037</v>
      </c>
      <c r="N30" s="17">
        <f>[1]Contratos!P30</f>
        <v>46038</v>
      </c>
      <c r="O30" s="17">
        <f>[1]Contratos!Q30</f>
        <v>46387</v>
      </c>
      <c r="P30" s="17" t="str">
        <f>IFERROR(VLOOKUP(A30, [1]Otrosí!A:L, 7, FALSE), "N/A")</f>
        <v>N/A</v>
      </c>
      <c r="Q30" s="18" t="s">
        <v>33</v>
      </c>
      <c r="R30" s="19" t="s">
        <v>34</v>
      </c>
      <c r="S30" s="20" t="s">
        <v>108</v>
      </c>
      <c r="T30" s="21" t="s">
        <v>36</v>
      </c>
      <c r="U30" s="10" t="str">
        <f>[1]Contratos!C30</f>
        <v>PN</v>
      </c>
      <c r="V30" s="10" t="str">
        <f>[1]Contratos!I30</f>
        <v>TECNOLOGÍAS Y SIST. DE INF.</v>
      </c>
      <c r="W30" s="22" t="str">
        <f>[1]Contratos!J30</f>
        <v>INGRID PICÓN</v>
      </c>
      <c r="X30" s="23" cm="1">
        <f t="array" ref="X30">IFERROR(VLOOKUP(W30,[1]COORD!$A$30:$B$66, 2, FALSE),[1]COORD!$B$30:$B$66)</f>
        <v>60372503</v>
      </c>
      <c r="Y30" s="24" t="s">
        <v>37</v>
      </c>
      <c r="Z30" s="25">
        <v>6664398</v>
      </c>
      <c r="AA30" s="26" t="str" cm="1">
        <f t="array" ref="AA30">IF(Y30&lt;&gt;"NIT","N/A",IF(OR(Z30="",Z30="N/A"),"N/A",IF(ISERROR(VALUE(IF(ISNUMBER(FIND("-",TEXT(Z30,"@"))),LEFT(TEXT(Z30,"@"),FIND("-",TEXT(Z30,"@"))-1),TEXT(Z30,"@")))),"N/A",IF(MOD(SUMPRODUCT(VALUE(MID(TEXT(VALUE(IF(ISNUMBER(FIND("-",TEXT(Z30,"@"))),LEFT(TEXT(Z30,"@"),FIND("-",TEXT(Z30,"@"))-1),TEXT(Z30,"@"))),"000000000000000"),{15,14,13,12,11,10,9,8,7,6,5,4,3,2,1},1)),{3,7,13,17,19,23,29,37,41,43,47,53,59,67,71}),11)=0,0,IF(MOD(SUMPRODUCT(VALUE(MID(TEXT(VALUE(IF(ISNUMBER(FIND("-",TEXT(Z30,"@"))),LEFT(TEXT(Z30,"@"),FIND("-",TEXT(Z30,"@"))-1),TEXT(Z30,"@"))),"000000000000000"),{15,14,13,12,11,10,9,8,7,6,5,4,3,2,1},1)),{3,7,13,17,19,23,29,37,41,43,47,53,59,67,71}),11)=1,1,11-MOD(SUMPRODUCT(VALUE(MID(TEXT(VALUE(IF(ISNUMBER(FIND("-",TEXT(Z30,"@"))),LEFT(TEXT(Z30,"@"),FIND("-",TEXT(Z30,"@"))-1),TEXT(Z30,"@"))),"000000000000000"),{15,14,13,12,11,10,9,8,7,6,5,4,3,2,1},1)),{3,7,13,17,19,23,29,37,41,43,47,53,59,67,71}),11))))))</f>
        <v>N/A</v>
      </c>
      <c r="AB30" s="26">
        <v>81111508</v>
      </c>
      <c r="AC30" s="29">
        <f t="shared" si="3"/>
        <v>350</v>
      </c>
      <c r="AD30" s="19">
        <v>3026</v>
      </c>
      <c r="AE30" s="19">
        <v>4726</v>
      </c>
      <c r="AF30" s="19" t="s">
        <v>39</v>
      </c>
    </row>
    <row r="31" spans="1:32" ht="61.5" customHeight="1" x14ac:dyDescent="0.35">
      <c r="A31" s="1" t="str">
        <f>[1]Contratos!A31</f>
        <v>CONTRATO 30 DE 2026</v>
      </c>
      <c r="B31" s="10" t="str">
        <f>[1]Contratos!B31</f>
        <v xml:space="preserve">JOHAN RINCON </v>
      </c>
      <c r="C31" s="10" t="str">
        <f>[1]Contratos!E31</f>
        <v>Prestación de servicios profesionales o Apoyo a la gestión</v>
      </c>
      <c r="D31" s="10" t="s">
        <v>109</v>
      </c>
      <c r="E31" s="11" t="str">
        <f>[1]Contratos!F31</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y al Plan de Acción año 2026, en cumplimiento de la Política de Gobierno Digital.</v>
      </c>
      <c r="F31" s="12">
        <v>157074000</v>
      </c>
      <c r="G31" s="13">
        <f>[1]Contratos!G31</f>
        <v>157074000</v>
      </c>
      <c r="H31" s="14" t="str">
        <f>IFERROR(VLOOKUP(A31, [1]Otrosí!A:F, 6, FALSE), "0")</f>
        <v>0</v>
      </c>
      <c r="I31" s="13">
        <f t="shared" si="0"/>
        <v>157074000</v>
      </c>
      <c r="J31" s="15">
        <v>88780952</v>
      </c>
      <c r="K31" s="13">
        <f t="shared" si="1"/>
        <v>68293048</v>
      </c>
      <c r="L31" s="16">
        <f t="shared" si="2"/>
        <v>0.56521736251703014</v>
      </c>
      <c r="M31" s="17">
        <f>[1]Contratos!O31</f>
        <v>46037</v>
      </c>
      <c r="N31" s="17">
        <f>[1]Contratos!P31</f>
        <v>46038</v>
      </c>
      <c r="O31" s="17">
        <f>[1]Contratos!Q31</f>
        <v>46387</v>
      </c>
      <c r="P31" s="17" t="str">
        <f>IFERROR(VLOOKUP(A31, [1]Otrosí!A:L, 7, FALSE), "N/A")</f>
        <v>N/A</v>
      </c>
      <c r="Q31" s="18" t="s">
        <v>33</v>
      </c>
      <c r="R31" s="19" t="s">
        <v>34</v>
      </c>
      <c r="S31" s="20" t="s">
        <v>110</v>
      </c>
      <c r="T31" s="21" t="s">
        <v>36</v>
      </c>
      <c r="U31" s="10" t="str">
        <f>[1]Contratos!C31</f>
        <v>PN</v>
      </c>
      <c r="V31" s="10" t="str">
        <f>[1]Contratos!I31</f>
        <v>TECNOLOGÍAS Y SIST. DE INF.</v>
      </c>
      <c r="W31" s="22" t="str">
        <f>[1]Contratos!J31</f>
        <v>INGRID PICÓN</v>
      </c>
      <c r="X31" s="23" cm="1">
        <f t="array" ref="X31">IFERROR(VLOOKUP(W31,[1]COORD!$A$30:$B$66, 2, FALSE),[1]COORD!$B$30:$B$66)</f>
        <v>60372503</v>
      </c>
      <c r="Y31" s="24" t="s">
        <v>37</v>
      </c>
      <c r="Z31" s="25">
        <v>88241099</v>
      </c>
      <c r="AA31" s="26" t="str" cm="1">
        <f t="array" ref="AA31">IF(Y31&lt;&gt;"NIT","N/A",IF(OR(Z31="",Z31="N/A"),"N/A",IF(ISERROR(VALUE(IF(ISNUMBER(FIND("-",TEXT(Z31,"@"))),LEFT(TEXT(Z31,"@"),FIND("-",TEXT(Z31,"@"))-1),TEXT(Z31,"@")))),"N/A",IF(MOD(SUMPRODUCT(VALUE(MID(TEXT(VALUE(IF(ISNUMBER(FIND("-",TEXT(Z31,"@"))),LEFT(TEXT(Z31,"@"),FIND("-",TEXT(Z31,"@"))-1),TEXT(Z31,"@"))),"000000000000000"),{15,14,13,12,11,10,9,8,7,6,5,4,3,2,1},1)),{3,7,13,17,19,23,29,37,41,43,47,53,59,67,71}),11)=0,0,IF(MOD(SUMPRODUCT(VALUE(MID(TEXT(VALUE(IF(ISNUMBER(FIND("-",TEXT(Z31,"@"))),LEFT(TEXT(Z31,"@"),FIND("-",TEXT(Z31,"@"))-1),TEXT(Z31,"@"))),"000000000000000"),{15,14,13,12,11,10,9,8,7,6,5,4,3,2,1},1)),{3,7,13,17,19,23,29,37,41,43,47,53,59,67,71}),11)=1,1,11-MOD(SUMPRODUCT(VALUE(MID(TEXT(VALUE(IF(ISNUMBER(FIND("-",TEXT(Z31,"@"))),LEFT(TEXT(Z31,"@"),FIND("-",TEXT(Z31,"@"))-1),TEXT(Z31,"@"))),"000000000000000"),{15,14,13,12,11,10,9,8,7,6,5,4,3,2,1},1)),{3,7,13,17,19,23,29,37,41,43,47,53,59,67,71}),11))))))</f>
        <v>N/A</v>
      </c>
      <c r="AB31" s="26">
        <v>81111508</v>
      </c>
      <c r="AC31" s="29">
        <f t="shared" si="3"/>
        <v>350</v>
      </c>
      <c r="AD31" s="19">
        <v>2926</v>
      </c>
      <c r="AE31" s="19">
        <v>5226</v>
      </c>
      <c r="AF31" s="19" t="s">
        <v>39</v>
      </c>
    </row>
    <row r="32" spans="1:32" ht="61.5" customHeight="1" x14ac:dyDescent="0.35">
      <c r="A32" s="1" t="str">
        <f>[1]Contratos!A32</f>
        <v>CONTRATO 31 DE 2026</v>
      </c>
      <c r="B32" s="10" t="str">
        <f>[1]Contratos!B32</f>
        <v>CULLEN INTERNATIONAL</v>
      </c>
      <c r="C32" s="10" t="str">
        <f>[1]Contratos!E32</f>
        <v>Contratación directa</v>
      </c>
      <c r="D32" s="10" t="s">
        <v>111</v>
      </c>
      <c r="E32" s="11" t="str">
        <f>[1]Contratos!F32</f>
        <v xml:space="preserve">Contratar la suscripción a la plataforma MY CULLEN de CULLEN INTERNATIONAL S.A. para el monitoreo de tendencias y desarrollos regulatorios a nivel internacional en materia de servicios de telecomunicaciones, postales y contenidos audiovisuales. </v>
      </c>
      <c r="F32" s="12">
        <v>615230000</v>
      </c>
      <c r="G32" s="13">
        <f>[1]Contratos!G32</f>
        <v>615230000</v>
      </c>
      <c r="H32" s="14" t="str">
        <f>IFERROR(VLOOKUP(A32, [1]Otrosí!A:F, 6, FALSE), "0")</f>
        <v>0</v>
      </c>
      <c r="I32" s="13">
        <f t="shared" si="0"/>
        <v>615230000</v>
      </c>
      <c r="J32" s="15">
        <v>615230000</v>
      </c>
      <c r="K32" s="13">
        <f t="shared" si="1"/>
        <v>0</v>
      </c>
      <c r="L32" s="16">
        <f t="shared" si="2"/>
        <v>1</v>
      </c>
      <c r="M32" s="17">
        <f>[1]Contratos!O32</f>
        <v>46042</v>
      </c>
      <c r="N32" s="17">
        <f>[1]Contratos!P32</f>
        <v>46055</v>
      </c>
      <c r="O32" s="17">
        <f>[1]Contratos!Q32</f>
        <v>46439</v>
      </c>
      <c r="P32" s="17" t="str">
        <f>IFERROR(VLOOKUP(A32, [1]Otrosí!A:L, 7, FALSE), "N/A")</f>
        <v>N/A</v>
      </c>
      <c r="Q32" s="18" t="s">
        <v>73</v>
      </c>
      <c r="R32" s="19" t="s">
        <v>34</v>
      </c>
      <c r="S32" s="20" t="s">
        <v>112</v>
      </c>
      <c r="T32" s="21" t="s">
        <v>36</v>
      </c>
      <c r="U32" s="10" t="str">
        <f>[1]Contratos!C32</f>
        <v>PJ</v>
      </c>
      <c r="V32" s="10" t="str">
        <f>[1]Contratos!I32</f>
        <v>ANALÍTICA DE DATOS</v>
      </c>
      <c r="W32" s="22" t="str">
        <f>[1]Contratos!J32</f>
        <v>MIGUEL DURÁN</v>
      </c>
      <c r="X32" s="23" cm="1">
        <f t="array" ref="X32">IFERROR(VLOOKUP(W32,[1]COORD!$A$30:$B$66, 2, FALSE),[1]COORD!$B$30:$B$66)</f>
        <v>92541020</v>
      </c>
      <c r="Y32" s="24" t="s">
        <v>75</v>
      </c>
      <c r="Z32" s="25" t="s">
        <v>113</v>
      </c>
      <c r="AA32" s="26" t="str" cm="1">
        <f t="array" ref="AA32">IF(Y32&lt;&gt;"NIT","N/A",IF(OR(Z32="",Z32="N/A"),"N/A",IF(ISERROR(VALUE(IF(ISNUMBER(FIND("-",TEXT(Z32,"@"))),LEFT(TEXT(Z32,"@"),FIND("-",TEXT(Z32,"@"))-1),TEXT(Z32,"@")))),"N/A",IF(MOD(SUMPRODUCT(VALUE(MID(TEXT(VALUE(IF(ISNUMBER(FIND("-",TEXT(Z32,"@"))),LEFT(TEXT(Z32,"@"),FIND("-",TEXT(Z32,"@"))-1),TEXT(Z32,"@"))),"000000000000000"),{15,14,13,12,11,10,9,8,7,6,5,4,3,2,1},1)),{3,7,13,17,19,23,29,37,41,43,47,53,59,67,71}),11)=0,0,IF(MOD(SUMPRODUCT(VALUE(MID(TEXT(VALUE(IF(ISNUMBER(FIND("-",TEXT(Z32,"@"))),LEFT(TEXT(Z32,"@"),FIND("-",TEXT(Z32,"@"))-1),TEXT(Z32,"@"))),"000000000000000"),{15,14,13,12,11,10,9,8,7,6,5,4,3,2,1},1)),{3,7,13,17,19,23,29,37,41,43,47,53,59,67,71}),11)=1,1,11-MOD(SUMPRODUCT(VALUE(MID(TEXT(VALUE(IF(ISNUMBER(FIND("-",TEXT(Z32,"@"))),LEFT(TEXT(Z32,"@"),FIND("-",TEXT(Z32,"@"))-1),TEXT(Z32,"@"))),"000000000000000"),{15,14,13,12,11,10,9,8,7,6,5,4,3,2,1},1)),{3,7,13,17,19,23,29,37,41,43,47,53,59,67,71}),11))))))</f>
        <v>N/A</v>
      </c>
      <c r="AB32" s="26">
        <v>81112106</v>
      </c>
      <c r="AC32" s="29">
        <f t="shared" si="3"/>
        <v>397</v>
      </c>
      <c r="AD32" s="19">
        <v>4426</v>
      </c>
      <c r="AE32" s="19">
        <v>7326</v>
      </c>
      <c r="AF32" s="19" t="s">
        <v>39</v>
      </c>
    </row>
    <row r="33" spans="1:32" ht="61.5" customHeight="1" x14ac:dyDescent="0.35">
      <c r="A33" s="1" t="str">
        <f>[1]Contratos!A33</f>
        <v>CONTRATO 32 DE 2026</v>
      </c>
      <c r="B33" s="10" t="str">
        <f>[1]Contratos!B33</f>
        <v>LUIS CARLOS URRUITA</v>
      </c>
      <c r="C33" s="10" t="str">
        <f>[1]Contratos!E33</f>
        <v>Prestación de servicios profesionales o Apoyo a la gestión</v>
      </c>
      <c r="D33" s="10" t="s">
        <v>114</v>
      </c>
      <c r="E33" s="11" t="str">
        <f>[1]Contratos!F33</f>
        <v>Prestar servicios profesionales para brindar apoyo en el diseño, ejecución y evaluación de estrategias orientadas al fortalecimiento de entornos audiovisuales seguros, la generación y difusión de herramientas de alfabetización mediática e informacional, el trabajo y articulación con operadores del servicio de televisión y el pluralismo informativo, en el marco de los proyectos contemplados dentro de la Agenda Regulatoria y el Plan de Acción 2026.</v>
      </c>
      <c r="F33" s="12">
        <v>159999500</v>
      </c>
      <c r="G33" s="13">
        <f>[1]Contratos!G33</f>
        <v>159999500</v>
      </c>
      <c r="H33" s="14" t="str">
        <f>IFERROR(VLOOKUP(A33, [1]Otrosí!A:F, 6, FALSE), "0")</f>
        <v>0</v>
      </c>
      <c r="I33" s="13">
        <f t="shared" si="0"/>
        <v>159999500</v>
      </c>
      <c r="J33" s="15">
        <v>90434500</v>
      </c>
      <c r="K33" s="13">
        <f t="shared" si="1"/>
        <v>69565000</v>
      </c>
      <c r="L33" s="16">
        <f t="shared" si="2"/>
        <v>0.56521739130434778</v>
      </c>
      <c r="M33" s="17">
        <f>[1]Contratos!O33</f>
        <v>46036</v>
      </c>
      <c r="N33" s="17">
        <f>[1]Contratos!P33</f>
        <v>46038</v>
      </c>
      <c r="O33" s="17">
        <f>[1]Contratos!Q33</f>
        <v>46387</v>
      </c>
      <c r="P33" s="17" t="str">
        <f>IFERROR(VLOOKUP(A33, [1]Otrosí!A:L, 7, FALSE), "N/A")</f>
        <v>N/A</v>
      </c>
      <c r="Q33" s="18" t="s">
        <v>33</v>
      </c>
      <c r="R33" s="19" t="s">
        <v>34</v>
      </c>
      <c r="S33" s="20" t="s">
        <v>115</v>
      </c>
      <c r="T33" s="21" t="s">
        <v>36</v>
      </c>
      <c r="U33" s="10" t="str">
        <f>[1]Contratos!C33</f>
        <v>PN</v>
      </c>
      <c r="V33" s="10" t="str">
        <f>[1]Contratos!I33</f>
        <v>PEDAGOGÍA REGULATORIA</v>
      </c>
      <c r="W33" s="22" t="str">
        <f>[1]Contratos!J33</f>
        <v>RICARDO RAMÍREZ</v>
      </c>
      <c r="X33" s="23" cm="1">
        <f t="array" ref="X33">IFERROR(VLOOKUP(W33,[1]COORD!$A$30:$B$66, 2, FALSE),[1]COORD!$B$30:$B$66)</f>
        <v>79444533</v>
      </c>
      <c r="Y33" s="24" t="s">
        <v>37</v>
      </c>
      <c r="Z33" s="25">
        <v>79555310</v>
      </c>
      <c r="AA33" s="26" t="str" cm="1">
        <f t="array" ref="AA33">IF(Y33&lt;&gt;"NIT","N/A",IF(OR(Z33="",Z33="N/A"),"N/A",IF(ISERROR(VALUE(IF(ISNUMBER(FIND("-",TEXT(Z33,"@"))),LEFT(TEXT(Z33,"@"),FIND("-",TEXT(Z33,"@"))-1),TEXT(Z33,"@")))),"N/A",IF(MOD(SUMPRODUCT(VALUE(MID(TEXT(VALUE(IF(ISNUMBER(FIND("-",TEXT(Z33,"@"))),LEFT(TEXT(Z33,"@"),FIND("-",TEXT(Z33,"@"))-1),TEXT(Z33,"@"))),"000000000000000"),{15,14,13,12,11,10,9,8,7,6,5,4,3,2,1},1)),{3,7,13,17,19,23,29,37,41,43,47,53,59,67,71}),11)=0,0,IF(MOD(SUMPRODUCT(VALUE(MID(TEXT(VALUE(IF(ISNUMBER(FIND("-",TEXT(Z33,"@"))),LEFT(TEXT(Z33,"@"),FIND("-",TEXT(Z33,"@"))-1),TEXT(Z33,"@"))),"000000000000000"),{15,14,13,12,11,10,9,8,7,6,5,4,3,2,1},1)),{3,7,13,17,19,23,29,37,41,43,47,53,59,67,71}),11)=1,1,11-MOD(SUMPRODUCT(VALUE(MID(TEXT(VALUE(IF(ISNUMBER(FIND("-",TEXT(Z33,"@"))),LEFT(TEXT(Z33,"@"),FIND("-",TEXT(Z33,"@"))-1),TEXT(Z33,"@"))),"000000000000000"),{15,14,13,12,11,10,9,8,7,6,5,4,3,2,1},1)),{3,7,13,17,19,23,29,37,41,43,47,53,59,67,71}),11))))))</f>
        <v>N/A</v>
      </c>
      <c r="AB33" s="26">
        <v>86101701</v>
      </c>
      <c r="AC33" s="29">
        <f t="shared" si="3"/>
        <v>351</v>
      </c>
      <c r="AD33" s="19">
        <v>4626</v>
      </c>
      <c r="AE33" s="19">
        <v>3726</v>
      </c>
      <c r="AF33" s="19" t="s">
        <v>39</v>
      </c>
    </row>
    <row r="34" spans="1:32" ht="61.5" customHeight="1" x14ac:dyDescent="0.35">
      <c r="A34" s="1" t="str">
        <f>[1]Contratos!A34</f>
        <v>CONTRATO 33 DE 2026</v>
      </c>
      <c r="B34" s="10" t="str">
        <f>[1]Contratos!B34</f>
        <v>ROBERTO BALTRA CONSULTORÍAS E.I.R.L.</v>
      </c>
      <c r="C34" s="10" t="str">
        <f>[1]Contratos!E34</f>
        <v>Prestación de servicios profesionales o Apoyo a la gestión</v>
      </c>
      <c r="D34" s="10" t="s">
        <v>116</v>
      </c>
      <c r="E34" s="11" t="str">
        <f>[1]Contratos!F34</f>
        <v>Prestación de servicios profesionales altamente especializados en materia de economía y regulación de mercados de telecomunicaciones para apoyar y acompañar a la CRC en el desarrollo de actividades técnicas, económicas y regulatorias relacionadas con la construcción y análisis de modelos de costos convergentes para redes fijas y móviles; la elaboración de estudios y ejercicios de costeo requeridos en el proyecto «Regulación para el aprovechamiento y compartición de infraestructura de otros sectores para el despliegue de redes de comunicaciones»; el análisis económico y de costos asociado a iniciativas de conectividad mayorista local, incluyendo redes municipales neutrales de fibra óptica; y el acompañamiento técnico especializado en la discusión sectorial de los proyectos «Esquemas de remuneración móvil» y «Evaluación de costos para la reconexión de servicios de telecomunicaciones», previsto en la Agenda Regulatoria 2026–2027, garantizando continuidad metodológica con el modelo de empresa eficiente móvil desarrollado en la vigencia 2025, así como la generación de insumos económicos y regulatorios que permitan sustentar las decisiones de la Comisión.</v>
      </c>
      <c r="F34" s="12">
        <v>410000000</v>
      </c>
      <c r="G34" s="13">
        <f>[1]Contratos!G34</f>
        <v>410000000</v>
      </c>
      <c r="H34" s="14" t="str">
        <f>IFERROR(VLOOKUP(A34, [1]Otrosí!A:F, 6, FALSE), "0")</f>
        <v>0</v>
      </c>
      <c r="I34" s="13">
        <f t="shared" si="0"/>
        <v>410000000</v>
      </c>
      <c r="J34" s="15">
        <v>205000000</v>
      </c>
      <c r="K34" s="13">
        <f t="shared" si="1"/>
        <v>205000000</v>
      </c>
      <c r="L34" s="16">
        <f t="shared" si="2"/>
        <v>0.5</v>
      </c>
      <c r="M34" s="17">
        <f>[1]Contratos!O34</f>
        <v>46036</v>
      </c>
      <c r="N34" s="17">
        <f>[1]Contratos!P34</f>
        <v>46037</v>
      </c>
      <c r="O34" s="17">
        <f>[1]Contratos!Q34</f>
        <v>46387</v>
      </c>
      <c r="P34" s="17" t="str">
        <f>IFERROR(VLOOKUP(A34, [1]Otrosí!A:L, 7, FALSE), "N/A")</f>
        <v>N/A</v>
      </c>
      <c r="Q34" s="18" t="s">
        <v>33</v>
      </c>
      <c r="R34" s="19" t="s">
        <v>34</v>
      </c>
      <c r="S34" s="20" t="s">
        <v>117</v>
      </c>
      <c r="T34" s="21" t="s">
        <v>36</v>
      </c>
      <c r="U34" s="10" t="str">
        <f>[1]Contratos!C34</f>
        <v>PJ</v>
      </c>
      <c r="V34" s="10" t="str">
        <f>[1]Contratos!I34</f>
        <v>DISEÑO REGULATORIO</v>
      </c>
      <c r="W34" s="22" t="str">
        <f>[1]Contratos!J34</f>
        <v>ALEJANDRA ARENAS</v>
      </c>
      <c r="X34" s="23" cm="1">
        <f t="array" ref="X34">IFERROR(VLOOKUP(W34,[1]COORD!$A$30:$B$66, 2, FALSE),[1]COORD!$B$30:$B$66)</f>
        <v>1020749984</v>
      </c>
      <c r="Y34" s="24" t="s">
        <v>75</v>
      </c>
      <c r="Z34" s="32" t="s">
        <v>118</v>
      </c>
      <c r="AA34" s="26" t="str" cm="1">
        <f t="array" ref="AA34">IF(Y34&lt;&gt;"NIT","N/A",IF(OR(Z34="",Z34="N/A"),"N/A",IF(ISERROR(VALUE(IF(ISNUMBER(FIND("-",TEXT(Z34,"@"))),LEFT(TEXT(Z34,"@"),FIND("-",TEXT(Z34,"@"))-1),TEXT(Z34,"@")))),"N/A",IF(MOD(SUMPRODUCT(VALUE(MID(TEXT(VALUE(IF(ISNUMBER(FIND("-",TEXT(Z34,"@"))),LEFT(TEXT(Z34,"@"),FIND("-",TEXT(Z34,"@"))-1),TEXT(Z34,"@"))),"000000000000000"),{15,14,13,12,11,10,9,8,7,6,5,4,3,2,1},1)),{3,7,13,17,19,23,29,37,41,43,47,53,59,67,71}),11)=0,0,IF(MOD(SUMPRODUCT(VALUE(MID(TEXT(VALUE(IF(ISNUMBER(FIND("-",TEXT(Z34,"@"))),LEFT(TEXT(Z34,"@"),FIND("-",TEXT(Z34,"@"))-1),TEXT(Z34,"@"))),"000000000000000"),{15,14,13,12,11,10,9,8,7,6,5,4,3,2,1},1)),{3,7,13,17,19,23,29,37,41,43,47,53,59,67,71}),11)=1,1,11-MOD(SUMPRODUCT(VALUE(MID(TEXT(VALUE(IF(ISNUMBER(FIND("-",TEXT(Z34,"@"))),LEFT(TEXT(Z34,"@"),FIND("-",TEXT(Z34,"@"))-1),TEXT(Z34,"@"))),"000000000000000"),{15,14,13,12,11,10,9,8,7,6,5,4,3,2,1},1)),{3,7,13,17,19,23,29,37,41,43,47,53,59,67,71}),11))))))</f>
        <v>N/A</v>
      </c>
      <c r="AB34" s="26">
        <v>81121502</v>
      </c>
      <c r="AC34" s="29">
        <f t="shared" si="3"/>
        <v>351</v>
      </c>
      <c r="AD34" s="19">
        <v>4826</v>
      </c>
      <c r="AE34" s="19">
        <v>3026</v>
      </c>
      <c r="AF34" s="19" t="s">
        <v>39</v>
      </c>
    </row>
    <row r="35" spans="1:32" ht="61.5" customHeight="1" x14ac:dyDescent="0.35">
      <c r="A35" s="1" t="str">
        <f>[1]Contratos!A35</f>
        <v>CONTRATO 34 DE 2026</v>
      </c>
      <c r="B35" s="10" t="str">
        <f>[1]Contratos!B35</f>
        <v>AVANCE JURIDICO CASA EDITORIAL</v>
      </c>
      <c r="C35" s="10" t="str">
        <f>[1]Contratos!E35</f>
        <v>Contratación directa</v>
      </c>
      <c r="D35" s="10" t="s">
        <v>119</v>
      </c>
      <c r="E35" s="11" t="str">
        <f>[1]Contratos!F35</f>
        <v>Actualización permanente de la Resolución CRC 5050 de 2016 en relación con los conceptos, línea decisional, doctrina concordante, circulares y notas de vigencia, así como la compilación y actualización de las normas complementarias que son transversales a todas las entidades públicas, integrado en el Normograma de la CRC.</v>
      </c>
      <c r="F35" s="12">
        <v>157206840</v>
      </c>
      <c r="G35" s="13">
        <f>[1]Contratos!G35</f>
        <v>157206840</v>
      </c>
      <c r="H35" s="14" t="str">
        <f>IFERROR(VLOOKUP(A35, [1]Otrosí!A:F, 6, FALSE), "0")</f>
        <v>0</v>
      </c>
      <c r="I35" s="13">
        <f t="shared" si="0"/>
        <v>157206840</v>
      </c>
      <c r="J35" s="15">
        <v>75185880</v>
      </c>
      <c r="K35" s="13">
        <f t="shared" si="1"/>
        <v>82020960</v>
      </c>
      <c r="L35" s="16">
        <f t="shared" si="2"/>
        <v>0.47826086956521741</v>
      </c>
      <c r="M35" s="17">
        <f>[1]Contratos!O35</f>
        <v>46037</v>
      </c>
      <c r="N35" s="17">
        <f>[1]Contratos!P35</f>
        <v>46038</v>
      </c>
      <c r="O35" s="17">
        <f>[1]Contratos!Q35</f>
        <v>46387</v>
      </c>
      <c r="P35" s="17" t="str">
        <f>IFERROR(VLOOKUP(A35, [1]Otrosí!A:L, 7, FALSE), "N/A")</f>
        <v>N/A</v>
      </c>
      <c r="Q35" s="18" t="s">
        <v>73</v>
      </c>
      <c r="R35" s="19" t="s">
        <v>34</v>
      </c>
      <c r="S35" s="20" t="s">
        <v>120</v>
      </c>
      <c r="T35" s="21" t="s">
        <v>36</v>
      </c>
      <c r="U35" s="10" t="str">
        <f>[1]Contratos!C35</f>
        <v>PJ</v>
      </c>
      <c r="V35" s="10" t="str">
        <f>[1]Contratos!I35</f>
        <v>COORDINACIÓN EJECUTIVA</v>
      </c>
      <c r="W35" s="22" t="str">
        <f>[1]Contratos!J35</f>
        <v>LUZ MIREYA GARZÓN</v>
      </c>
      <c r="X35" s="23" cm="1">
        <f t="array" ref="X35">IFERROR(VLOOKUP(W35,[1]COORD!$A$30:$B$66, 2, FALSE),[1]COORD!$B$30:$B$66)</f>
        <v>52328311</v>
      </c>
      <c r="Y35" s="24" t="s">
        <v>75</v>
      </c>
      <c r="Z35" s="32">
        <v>830041326</v>
      </c>
      <c r="AA35" s="26" cm="1">
        <f t="array" ref="AA35">IF(Y35&lt;&gt;"NIT","N/A",IF(OR(Z35="",Z35="N/A"),"N/A",IF(ISERROR(VALUE(IF(ISNUMBER(FIND("-",TEXT(Z35,"@"))),LEFT(TEXT(Z35,"@"),FIND("-",TEXT(Z35,"@"))-1),TEXT(Z35,"@")))),"N/A",IF(MOD(SUMPRODUCT(VALUE(MID(TEXT(VALUE(IF(ISNUMBER(FIND("-",TEXT(Z35,"@"))),LEFT(TEXT(Z35,"@"),FIND("-",TEXT(Z35,"@"))-1),TEXT(Z35,"@"))),"000000000000000"),{15,14,13,12,11,10,9,8,7,6,5,4,3,2,1},1)),{3,7,13,17,19,23,29,37,41,43,47,53,59,67,71}),11)=0,0,IF(MOD(SUMPRODUCT(VALUE(MID(TEXT(VALUE(IF(ISNUMBER(FIND("-",TEXT(Z35,"@"))),LEFT(TEXT(Z35,"@"),FIND("-",TEXT(Z35,"@"))-1),TEXT(Z35,"@"))),"000000000000000"),{15,14,13,12,11,10,9,8,7,6,5,4,3,2,1},1)),{3,7,13,17,19,23,29,37,41,43,47,53,59,67,71}),11)=1,1,11-MOD(SUMPRODUCT(VALUE(MID(TEXT(VALUE(IF(ISNUMBER(FIND("-",TEXT(Z35,"@"))),LEFT(TEXT(Z35,"@"),FIND("-",TEXT(Z35,"@"))-1),TEXT(Z35,"@"))),"000000000000000"),{15,14,13,12,11,10,9,8,7,6,5,4,3,2,1},1)),{3,7,13,17,19,23,29,37,41,43,47,53,59,67,71}),11))))))</f>
        <v>2</v>
      </c>
      <c r="AB35" s="26">
        <v>80161500</v>
      </c>
      <c r="AC35" s="29">
        <f t="shared" si="3"/>
        <v>350</v>
      </c>
      <c r="AD35" s="19">
        <v>3726</v>
      </c>
      <c r="AE35" s="19">
        <v>5426</v>
      </c>
      <c r="AF35" s="19" t="s">
        <v>39</v>
      </c>
    </row>
    <row r="36" spans="1:32" ht="61.5" customHeight="1" x14ac:dyDescent="0.35">
      <c r="A36" s="1" t="str">
        <f>[1]Contratos!A36</f>
        <v>CONTRATO 35 DE 2026</v>
      </c>
      <c r="B36" s="10" t="s">
        <v>121</v>
      </c>
      <c r="C36" s="10" t="str">
        <f>[1]Contratos!E36</f>
        <v>Prestación de servicios profesionales o Apoyo a la gestión</v>
      </c>
      <c r="D36" s="10" t="s">
        <v>122</v>
      </c>
      <c r="E36" s="11" t="str">
        <f>[1]Contratos!F36</f>
        <v>Prestación de servicios profesionales altamente especializados en materia de economía y análisis cuantitativo, orientados a brindar soporte especializado en la formulación y ejecución de proyectos regulatorios, así como en otras actividades desarrolladas por la Comisión de Regulación de Comunicaciones (CRC) en el marco de su Plan de Acción para 2026 y la Agenda Regulatoria 2026-2027</v>
      </c>
      <c r="F36" s="12">
        <v>243362400</v>
      </c>
      <c r="G36" s="13">
        <f>[1]Contratos!G36</f>
        <v>243362400</v>
      </c>
      <c r="H36" s="14" t="str">
        <f>IFERROR(VLOOKUP(A36, [1]Otrosí!A:F, 6, FALSE), "0")</f>
        <v>0</v>
      </c>
      <c r="I36" s="13">
        <f t="shared" si="0"/>
        <v>243362400</v>
      </c>
      <c r="J36" s="15">
        <v>144395024</v>
      </c>
      <c r="K36" s="13">
        <f t="shared" si="1"/>
        <v>98967376</v>
      </c>
      <c r="L36" s="16">
        <f t="shared" si="2"/>
        <v>0.59333333333333338</v>
      </c>
      <c r="M36" s="17">
        <f>[1]Contratos!O36</f>
        <v>46042</v>
      </c>
      <c r="N36" s="17">
        <f>[1]Contratos!P36</f>
        <v>46044</v>
      </c>
      <c r="O36" s="17">
        <f>[1]Contratos!Q36</f>
        <v>46387</v>
      </c>
      <c r="P36" s="17" t="str">
        <f>IFERROR(VLOOKUP(A36, [1]Otrosí!A:L, 7, FALSE), "N/A")</f>
        <v>N/A</v>
      </c>
      <c r="Q36" s="18" t="s">
        <v>33</v>
      </c>
      <c r="R36" s="19" t="s">
        <v>34</v>
      </c>
      <c r="S36" s="20" t="s">
        <v>123</v>
      </c>
      <c r="T36" s="21" t="s">
        <v>36</v>
      </c>
      <c r="U36" s="10" t="str">
        <f>[1]Contratos!C36</f>
        <v>PN</v>
      </c>
      <c r="V36" s="10" t="str">
        <f>[1]Contratos!I36</f>
        <v>DISEÑO REGULATORIO / ANALÍTICA DE DATOS</v>
      </c>
      <c r="W36" s="22" t="str">
        <f>[1]Contratos!J36</f>
        <v>ALEJANDRA ARENAS</v>
      </c>
      <c r="X36" s="23" cm="1">
        <f t="array" ref="X36">IFERROR(VLOOKUP(W36,[1]COORD!$A$30:$B$66, 2, FALSE),[1]COORD!$B$30:$B$66)</f>
        <v>1020749984</v>
      </c>
      <c r="Y36" s="24" t="s">
        <v>37</v>
      </c>
      <c r="Z36" s="25">
        <v>16763217</v>
      </c>
      <c r="AA36" s="26" t="str" cm="1">
        <f t="array" ref="AA36">IF(Y36&lt;&gt;"NIT","N/A",IF(OR(Z36="",Z36="N/A"),"N/A",IF(ISERROR(VALUE(IF(ISNUMBER(FIND("-",TEXT(Z36,"@"))),LEFT(TEXT(Z36,"@"),FIND("-",TEXT(Z36,"@"))-1),TEXT(Z36,"@")))),"N/A",IF(MOD(SUMPRODUCT(VALUE(MID(TEXT(VALUE(IF(ISNUMBER(FIND("-",TEXT(Z36,"@"))),LEFT(TEXT(Z36,"@"),FIND("-",TEXT(Z36,"@"))-1),TEXT(Z36,"@"))),"000000000000000"),{15,14,13,12,11,10,9,8,7,6,5,4,3,2,1},1)),{3,7,13,17,19,23,29,37,41,43,47,53,59,67,71}),11)=0,0,IF(MOD(SUMPRODUCT(VALUE(MID(TEXT(VALUE(IF(ISNUMBER(FIND("-",TEXT(Z36,"@"))),LEFT(TEXT(Z36,"@"),FIND("-",TEXT(Z36,"@"))-1),TEXT(Z36,"@"))),"000000000000000"),{15,14,13,12,11,10,9,8,7,6,5,4,3,2,1},1)),{3,7,13,17,19,23,29,37,41,43,47,53,59,67,71}),11)=1,1,11-MOD(SUMPRODUCT(VALUE(MID(TEXT(VALUE(IF(ISNUMBER(FIND("-",TEXT(Z36,"@"))),LEFT(TEXT(Z36,"@"),FIND("-",TEXT(Z36,"@"))-1),TEXT(Z36,"@"))),"000000000000000"),{15,14,13,12,11,10,9,8,7,6,5,4,3,2,1},1)),{3,7,13,17,19,23,29,37,41,43,47,53,59,67,71}),11))))))</f>
        <v>N/A</v>
      </c>
      <c r="AB36" s="26">
        <v>81121500</v>
      </c>
      <c r="AC36" s="29">
        <f t="shared" si="3"/>
        <v>345</v>
      </c>
      <c r="AD36" s="19">
        <v>4026</v>
      </c>
      <c r="AE36" s="19">
        <v>7426</v>
      </c>
      <c r="AF36" s="19" t="s">
        <v>39</v>
      </c>
    </row>
    <row r="37" spans="1:32" ht="61.5" customHeight="1" x14ac:dyDescent="0.35">
      <c r="A37" s="1" t="str">
        <f>[1]Contratos!A37</f>
        <v>CONTRATO 36 DE 2026</v>
      </c>
      <c r="B37" s="10" t="str">
        <f>[1]Contratos!B37</f>
        <v>JUAN CARLOS NIÑO</v>
      </c>
      <c r="C37" s="10" t="str">
        <f>[1]Contratos!E37</f>
        <v>Prestación de servicios profesionales o Apoyo a la gestión</v>
      </c>
      <c r="D37" s="10" t="s">
        <v>124</v>
      </c>
      <c r="E37" s="11" t="str">
        <f>[1]Contratos!F37</f>
        <v>Prestacion de servicios profesionales especializados en las áreas del conocimiento de contabilidad y auditoría, integrando actividades de análisis y revisión de información financiera de los agentes regulados por la CRC, así como la aplicación e interpretación de las Normas Internacionales de la Información Financiera (NIIF), con el fin de respaldar y fortalecer el desarrollo de proyectos regulatorios y otras actividades misionales de la Entidad, incluido el observatorio de inversión en telecomunicaciones, de acuerdo con lo previsto en la Agenda Regulatoria 2026–2027 y el Plan de Acción de la CRC para el año 2026.</v>
      </c>
      <c r="F37" s="12">
        <v>154992000</v>
      </c>
      <c r="G37" s="13">
        <f>[1]Contratos!G37</f>
        <v>154992000</v>
      </c>
      <c r="H37" s="14" t="str">
        <f>IFERROR(VLOOKUP(A37, [1]Otrosí!A:F, 6, FALSE), "0")</f>
        <v>0</v>
      </c>
      <c r="I37" s="13">
        <f t="shared" si="0"/>
        <v>154992000</v>
      </c>
      <c r="J37" s="15">
        <v>36164947</v>
      </c>
      <c r="K37" s="13">
        <f t="shared" si="1"/>
        <v>118827053</v>
      </c>
      <c r="L37" s="16">
        <f t="shared" si="2"/>
        <v>0.23333428176938165</v>
      </c>
      <c r="M37" s="17">
        <f>[1]Contratos!O37</f>
        <v>46037</v>
      </c>
      <c r="N37" s="17">
        <f>[1]Contratos!P37</f>
        <v>46041</v>
      </c>
      <c r="O37" s="17">
        <f>[1]Contratos!Q37</f>
        <v>46387</v>
      </c>
      <c r="P37" s="17" t="str">
        <f>IFERROR(VLOOKUP(A37, [1]Otrosí!A:L, 7, FALSE), "N/A")</f>
        <v>N/A</v>
      </c>
      <c r="Q37" s="18" t="s">
        <v>33</v>
      </c>
      <c r="R37" s="19" t="s">
        <v>34</v>
      </c>
      <c r="S37" s="20" t="s">
        <v>125</v>
      </c>
      <c r="T37" s="21" t="s">
        <v>36</v>
      </c>
      <c r="U37" s="10" t="str">
        <f>[1]Contratos!C37</f>
        <v>PN</v>
      </c>
      <c r="V37" s="10" t="str">
        <f>[1]Contratos!I37</f>
        <v>DISEÑO REGULATORIO / ANALÍTICA DE DATOS</v>
      </c>
      <c r="W37" s="22" t="str">
        <f>[1]Contratos!J37</f>
        <v>MIGUEL DURÁN</v>
      </c>
      <c r="X37" s="23" cm="1">
        <f t="array" ref="X37">IFERROR(VLOOKUP(W37,[1]COORD!$A$30:$B$66, 2, FALSE),[1]COORD!$B$30:$B$66)</f>
        <v>92541020</v>
      </c>
      <c r="Y37" s="24" t="s">
        <v>37</v>
      </c>
      <c r="Z37" s="25">
        <v>79444625</v>
      </c>
      <c r="AA37" s="26" t="str" cm="1">
        <f t="array" ref="AA37">IF(Y37&lt;&gt;"NIT","N/A",IF(OR(Z37="",Z37="N/A"),"N/A",IF(ISERROR(VALUE(IF(ISNUMBER(FIND("-",TEXT(Z37,"@"))),LEFT(TEXT(Z37,"@"),FIND("-",TEXT(Z37,"@"))-1),TEXT(Z37,"@")))),"N/A",IF(MOD(SUMPRODUCT(VALUE(MID(TEXT(VALUE(IF(ISNUMBER(FIND("-",TEXT(Z37,"@"))),LEFT(TEXT(Z37,"@"),FIND("-",TEXT(Z37,"@"))-1),TEXT(Z37,"@"))),"000000000000000"),{15,14,13,12,11,10,9,8,7,6,5,4,3,2,1},1)),{3,7,13,17,19,23,29,37,41,43,47,53,59,67,71}),11)=0,0,IF(MOD(SUMPRODUCT(VALUE(MID(TEXT(VALUE(IF(ISNUMBER(FIND("-",TEXT(Z37,"@"))),LEFT(TEXT(Z37,"@"),FIND("-",TEXT(Z37,"@"))-1),TEXT(Z37,"@"))),"000000000000000"),{15,14,13,12,11,10,9,8,7,6,5,4,3,2,1},1)),{3,7,13,17,19,23,29,37,41,43,47,53,59,67,71}),11)=1,1,11-MOD(SUMPRODUCT(VALUE(MID(TEXT(VALUE(IF(ISNUMBER(FIND("-",TEXT(Z37,"@"))),LEFT(TEXT(Z37,"@"),FIND("-",TEXT(Z37,"@"))-1),TEXT(Z37,"@"))),"000000000000000"),{15,14,13,12,11,10,9,8,7,6,5,4,3,2,1},1)),{3,7,13,17,19,23,29,37,41,43,47,53,59,67,71}),11))))))</f>
        <v>N/A</v>
      </c>
      <c r="AB37" s="26">
        <v>84111501</v>
      </c>
      <c r="AC37" s="29">
        <f t="shared" si="3"/>
        <v>350</v>
      </c>
      <c r="AD37" s="19">
        <v>4126</v>
      </c>
      <c r="AE37" s="19">
        <v>4926</v>
      </c>
      <c r="AF37" s="19" t="s">
        <v>39</v>
      </c>
    </row>
    <row r="38" spans="1:32" ht="61.5" customHeight="1" x14ac:dyDescent="0.35">
      <c r="A38" s="1" t="str">
        <f>[1]Contratos!A38</f>
        <v>CONTRATO 37 DE 2026</v>
      </c>
      <c r="B38" s="10" t="str">
        <f>[1]Contratos!B38</f>
        <v>JUAN DAVID BOTERO</v>
      </c>
      <c r="C38" s="10" t="str">
        <f>[1]Contratos!E38</f>
        <v>Prestación de servicios profesionales o Apoyo a la gestión</v>
      </c>
      <c r="D38" s="10" t="s">
        <v>126</v>
      </c>
      <c r="E38" s="11" t="str">
        <f>[1]Contratos!F38</f>
        <v>prestar servicios profesionales especializados en urbanismo, planificación territorial y diseño arquitectónico para brindar asistencia técnica a la CRC en el análisis, revisión y formulación de insumos que permitan identificar y gestionar condiciones urbanísticas que incidan en el despliegue de infraestructura de telecomunicaciones del país. El servicio incluirá la elaboración de conceptos técnicos asociados a la actualización del Reglamento Técnico para Redes Internas de Telecomunicaciones (RITEL), expedido mediante la Resolución CRC 7930 de 2025, así como el soporte en temas arquitectónicos y urbanísticos que resulten pertinentes conforme a la Agenda Regulatoria 2026–2027 y al Plan de Acción de la CRC para el año 2026</v>
      </c>
      <c r="F38" s="12">
        <v>112943604</v>
      </c>
      <c r="G38" s="13">
        <f>[1]Contratos!G38</f>
        <v>112943604</v>
      </c>
      <c r="H38" s="14" t="str">
        <f>IFERROR(VLOOKUP(A38, [1]Otrosí!A:F, 6, FALSE), "0")</f>
        <v>0</v>
      </c>
      <c r="I38" s="13">
        <f t="shared" si="0"/>
        <v>112943604</v>
      </c>
      <c r="J38" s="15">
        <v>52360990</v>
      </c>
      <c r="K38" s="13">
        <f t="shared" si="1"/>
        <v>60582614</v>
      </c>
      <c r="L38" s="16">
        <f t="shared" si="2"/>
        <v>0.46360296772537912</v>
      </c>
      <c r="M38" s="17">
        <f>[1]Contratos!O38</f>
        <v>46037</v>
      </c>
      <c r="N38" s="17">
        <f>[1]Contratos!P38</f>
        <v>46042</v>
      </c>
      <c r="O38" s="17">
        <f>[1]Contratos!Q38</f>
        <v>46387</v>
      </c>
      <c r="P38" s="17" t="str">
        <f>IFERROR(VLOOKUP(A38, [1]Otrosí!A:L, 7, FALSE), "N/A")</f>
        <v>N/A</v>
      </c>
      <c r="Q38" s="18" t="s">
        <v>33</v>
      </c>
      <c r="R38" s="19" t="s">
        <v>34</v>
      </c>
      <c r="S38" s="20" t="s">
        <v>127</v>
      </c>
      <c r="T38" s="21" t="s">
        <v>36</v>
      </c>
      <c r="U38" s="10" t="str">
        <f>[1]Contratos!C38</f>
        <v>PN</v>
      </c>
      <c r="V38" s="10" t="str">
        <f>[1]Contratos!I38</f>
        <v>GESTIÓN JURÍDICA</v>
      </c>
      <c r="W38" s="22" t="str">
        <f>[1]Contratos!J38</f>
        <v>VICTOR SANDOVAL</v>
      </c>
      <c r="X38" s="23" cm="1">
        <f t="array" ref="X38">IFERROR(VLOOKUP(W38,[1]COORD!$A$30:$B$66, 2, FALSE),[1]COORD!$B$30:$B$66)</f>
        <v>1026264211</v>
      </c>
      <c r="Y38" s="24" t="s">
        <v>37</v>
      </c>
      <c r="Z38" s="25">
        <v>71313369</v>
      </c>
      <c r="AA38" s="26" t="str" cm="1">
        <f t="array" ref="AA38">IF(Y38&lt;&gt;"NIT","N/A",IF(OR(Z38="",Z38="N/A"),"N/A",IF(ISERROR(VALUE(IF(ISNUMBER(FIND("-",TEXT(Z38,"@"))),LEFT(TEXT(Z38,"@"),FIND("-",TEXT(Z38,"@"))-1),TEXT(Z38,"@")))),"N/A",IF(MOD(SUMPRODUCT(VALUE(MID(TEXT(VALUE(IF(ISNUMBER(FIND("-",TEXT(Z38,"@"))),LEFT(TEXT(Z38,"@"),FIND("-",TEXT(Z38,"@"))-1),TEXT(Z38,"@"))),"000000000000000"),{15,14,13,12,11,10,9,8,7,6,5,4,3,2,1},1)),{3,7,13,17,19,23,29,37,41,43,47,53,59,67,71}),11)=0,0,IF(MOD(SUMPRODUCT(VALUE(MID(TEXT(VALUE(IF(ISNUMBER(FIND("-",TEXT(Z38,"@"))),LEFT(TEXT(Z38,"@"),FIND("-",TEXT(Z38,"@"))-1),TEXT(Z38,"@"))),"000000000000000"),{15,14,13,12,11,10,9,8,7,6,5,4,3,2,1},1)),{3,7,13,17,19,23,29,37,41,43,47,53,59,67,71}),11)=1,1,11-MOD(SUMPRODUCT(VALUE(MID(TEXT(VALUE(IF(ISNUMBER(FIND("-",TEXT(Z38,"@"))),LEFT(TEXT(Z38,"@"),FIND("-",TEXT(Z38,"@"))-1),TEXT(Z38,"@"))),"000000000000000"),{15,14,13,12,11,10,9,8,7,6,5,4,3,2,1},1)),{3,7,13,17,19,23,29,37,41,43,47,53,59,67,71}),11))))))</f>
        <v>N/A</v>
      </c>
      <c r="AB38" s="26">
        <v>81101500</v>
      </c>
      <c r="AC38" s="29">
        <f t="shared" si="3"/>
        <v>350</v>
      </c>
      <c r="AD38" s="19">
        <v>5326</v>
      </c>
      <c r="AE38" s="19">
        <v>5026</v>
      </c>
      <c r="AF38" s="19" t="s">
        <v>39</v>
      </c>
    </row>
    <row r="39" spans="1:32" ht="61.5" customHeight="1" x14ac:dyDescent="0.35">
      <c r="A39" s="1" t="str">
        <f>[1]Contratos!A39</f>
        <v>CONTRATO 38 DE 2026</v>
      </c>
      <c r="B39" s="10" t="str">
        <f>[1]Contratos!B39</f>
        <v xml:space="preserve">JUAN NICOLAS AYALA RODRIGUEZ  </v>
      </c>
      <c r="C39" s="10" t="str">
        <f>[1]Contratos!E39</f>
        <v>Prestación de servicios profesionales o Apoyo a la gestión</v>
      </c>
      <c r="D39" s="10" t="s">
        <v>128</v>
      </c>
      <c r="E39" s="11" t="str">
        <f>[1]Contratos!F39</f>
        <v>Prestar los servicios profesionales especializados para apoyar la implementación y gestión del modelo de seguridad y privacidad de la información de la Comisión de Regulación de Comunicaciones – CRC, mediante la operación y consolidación del Sistema de Gestión de Seguridad y Privacidad de la Información (SGSPI); así como, ejercer el acompañamiento que se requiera en el proceso de liderazgo para la ejecución y fortalecimiento del Sistema de Gestión de Continuidad del Negocio – SGCN, de acuerdo con el alcance definido para la vigencia 2026.</v>
      </c>
      <c r="F39" s="12">
        <v>172500000</v>
      </c>
      <c r="G39" s="13">
        <f>[1]Contratos!G39</f>
        <v>172500000</v>
      </c>
      <c r="H39" s="14" t="str">
        <f>IFERROR(VLOOKUP(A39, [1]Otrosí!A:F, 6, FALSE), "0")</f>
        <v>0</v>
      </c>
      <c r="I39" s="13">
        <f t="shared" si="0"/>
        <v>172500000</v>
      </c>
      <c r="J39" s="15">
        <v>82500000</v>
      </c>
      <c r="K39" s="13">
        <f t="shared" si="1"/>
        <v>90000000</v>
      </c>
      <c r="L39" s="16">
        <f t="shared" si="2"/>
        <v>0.47826086956521741</v>
      </c>
      <c r="M39" s="17">
        <f>[1]Contratos!O39</f>
        <v>46037</v>
      </c>
      <c r="N39" s="17">
        <f>[1]Contratos!P39</f>
        <v>46038</v>
      </c>
      <c r="O39" s="17">
        <f>[1]Contratos!Q39</f>
        <v>46387</v>
      </c>
      <c r="P39" s="17" t="str">
        <f>IFERROR(VLOOKUP(A39, [1]Otrosí!A:L, 7, FALSE), "N/A")</f>
        <v>N/A</v>
      </c>
      <c r="Q39" s="18" t="s">
        <v>33</v>
      </c>
      <c r="R39" s="19" t="s">
        <v>34</v>
      </c>
      <c r="S39" s="20" t="s">
        <v>129</v>
      </c>
      <c r="T39" s="21" t="s">
        <v>36</v>
      </c>
      <c r="U39" s="10" t="str">
        <f>[1]Contratos!C39</f>
        <v>PN</v>
      </c>
      <c r="V39" s="10" t="str">
        <f>[1]Contratos!I39</f>
        <v>PLANEACIÓN Y GESTIÓN / TECNOLOGÍAS Y SIST. DE INF.</v>
      </c>
      <c r="W39" s="22" t="str">
        <f>[1]Contratos!J39</f>
        <v>SANDRA VILLABONA / INGRID PICÓN</v>
      </c>
      <c r="X39" s="23" t="str" cm="1">
        <f t="array" ref="X39">IFERROR(VLOOKUP(W39,[1]COORD!$A$30:$B$66, 2, FALSE),[1]COORD!$B$30:$B$66)</f>
        <v>52989096 / 60372503</v>
      </c>
      <c r="Y39" s="24" t="s">
        <v>37</v>
      </c>
      <c r="Z39" s="25">
        <v>1023883423</v>
      </c>
      <c r="AA39" s="26" t="str" cm="1">
        <f t="array" ref="AA39">IF(Y39&lt;&gt;"NIT","N/A",IF(OR(Z39="",Z39="N/A"),"N/A",IF(ISERROR(VALUE(IF(ISNUMBER(FIND("-",TEXT(Z39,"@"))),LEFT(TEXT(Z39,"@"),FIND("-",TEXT(Z39,"@"))-1),TEXT(Z39,"@")))),"N/A",IF(MOD(SUMPRODUCT(VALUE(MID(TEXT(VALUE(IF(ISNUMBER(FIND("-",TEXT(Z39,"@"))),LEFT(TEXT(Z39,"@"),FIND("-",TEXT(Z39,"@"))-1),TEXT(Z39,"@"))),"000000000000000"),{15,14,13,12,11,10,9,8,7,6,5,4,3,2,1},1)),{3,7,13,17,19,23,29,37,41,43,47,53,59,67,71}),11)=0,0,IF(MOD(SUMPRODUCT(VALUE(MID(TEXT(VALUE(IF(ISNUMBER(FIND("-",TEXT(Z39,"@"))),LEFT(TEXT(Z39,"@"),FIND("-",TEXT(Z39,"@"))-1),TEXT(Z39,"@"))),"000000000000000"),{15,14,13,12,11,10,9,8,7,6,5,4,3,2,1},1)),{3,7,13,17,19,23,29,37,41,43,47,53,59,67,71}),11)=1,1,11-MOD(SUMPRODUCT(VALUE(MID(TEXT(VALUE(IF(ISNUMBER(FIND("-",TEXT(Z39,"@"))),LEFT(TEXT(Z39,"@"),FIND("-",TEXT(Z39,"@"))-1),TEXT(Z39,"@"))),"000000000000000"),{15,14,13,12,11,10,9,8,7,6,5,4,3,2,1},1)),{3,7,13,17,19,23,29,37,41,43,47,53,59,67,71}),11))))))</f>
        <v>N/A</v>
      </c>
      <c r="AB39" s="26">
        <v>81111507</v>
      </c>
      <c r="AC39" s="29">
        <f t="shared" si="3"/>
        <v>350</v>
      </c>
      <c r="AD39" s="19">
        <v>3326</v>
      </c>
      <c r="AE39" s="19">
        <v>4826</v>
      </c>
      <c r="AF39" s="19" t="s">
        <v>39</v>
      </c>
    </row>
    <row r="40" spans="1:32" ht="61.5" customHeight="1" x14ac:dyDescent="0.35">
      <c r="A40" s="1" t="str">
        <f>[1]Contratos!A40</f>
        <v>CONTRATO 39 DE 2026</v>
      </c>
      <c r="B40" s="10" t="str">
        <f>[1]Contratos!B40</f>
        <v>COMPENSAR</v>
      </c>
      <c r="C40" s="10" t="str">
        <f>[1]Contratos!E40</f>
        <v>Prestación de servicios profesionales o Apoyo a la gestión</v>
      </c>
      <c r="D40" s="10" t="s">
        <v>130</v>
      </c>
      <c r="E40" s="11" t="str">
        <f>[1]Contratos!F40</f>
        <v xml:space="preserve">Prestación de servicios de apoyo a la gestión en el desarrollo de acciones para el fortalecimiento de la gestión estratégica del talento humano en la CRC, encaminadas a la ejecución de actividades relacionadas con el cumplimiento de los planes y programas correspondientes a las políticas de la dimensión de talento humano del modelo integrado de planeación y gestión - MIPG en la comisión de regulación de comunicaciones (bienestar social, capacitación, SST, actividades culturales, deportivas, recreativas y formativas, entre otros). </v>
      </c>
      <c r="F40" s="12">
        <v>420343000</v>
      </c>
      <c r="G40" s="13">
        <f>[1]Contratos!G40</f>
        <v>420343000</v>
      </c>
      <c r="H40" s="14" t="str">
        <f>IFERROR(VLOOKUP(A40, [1]Otrosí!A:F, 6, FALSE), "0")</f>
        <v>0</v>
      </c>
      <c r="I40" s="13">
        <f t="shared" si="0"/>
        <v>420343000</v>
      </c>
      <c r="J40" s="15">
        <v>75303157</v>
      </c>
      <c r="K40" s="13">
        <f t="shared" si="1"/>
        <v>345039843</v>
      </c>
      <c r="L40" s="16">
        <f t="shared" si="2"/>
        <v>0.17914692762815129</v>
      </c>
      <c r="M40" s="17">
        <f>[1]Contratos!O40</f>
        <v>46048</v>
      </c>
      <c r="N40" s="17">
        <f>[1]Contratos!P40</f>
        <v>46052</v>
      </c>
      <c r="O40" s="17">
        <f>[1]Contratos!Q40</f>
        <v>46377</v>
      </c>
      <c r="P40" s="17" t="str">
        <f>IFERROR(VLOOKUP(A40, [1]Otrosí!A:L, 7, FALSE), "N/A")</f>
        <v>N/A</v>
      </c>
      <c r="Q40" s="18" t="s">
        <v>73</v>
      </c>
      <c r="R40" s="19" t="s">
        <v>34</v>
      </c>
      <c r="S40" s="20" t="s">
        <v>131</v>
      </c>
      <c r="T40" s="21" t="s">
        <v>36</v>
      </c>
      <c r="U40" s="10" t="str">
        <f>[1]Contratos!C40</f>
        <v>PJ</v>
      </c>
      <c r="V40" s="10" t="str">
        <f>[1]Contratos!I40</f>
        <v>GESTIÓN ADM. Y FIN</v>
      </c>
      <c r="W40" s="22" t="str">
        <f>[1]Contratos!J40</f>
        <v>DIANA WILCHES</v>
      </c>
      <c r="X40" s="23" cm="1">
        <f t="array" ref="X40">IFERROR(VLOOKUP(W40,[1]COORD!$A$30:$B$66, 2, FALSE),[1]COORD!$B$30:$B$66)</f>
        <v>40049758</v>
      </c>
      <c r="Y40" s="24" t="s">
        <v>75</v>
      </c>
      <c r="Z40" s="25">
        <v>860066942</v>
      </c>
      <c r="AA40" s="26" cm="1">
        <f t="array" ref="AA40">IF(Y40&lt;&gt;"NIT","N/A",IF(OR(Z40="",Z40="N/A"),"N/A",IF(ISERROR(VALUE(IF(ISNUMBER(FIND("-",TEXT(Z40,"@"))),LEFT(TEXT(Z40,"@"),FIND("-",TEXT(Z40,"@"))-1),TEXT(Z40,"@")))),"N/A",IF(MOD(SUMPRODUCT(VALUE(MID(TEXT(VALUE(IF(ISNUMBER(FIND("-",TEXT(Z40,"@"))),LEFT(TEXT(Z40,"@"),FIND("-",TEXT(Z40,"@"))-1),TEXT(Z40,"@"))),"000000000000000"),{15,14,13,12,11,10,9,8,7,6,5,4,3,2,1},1)),{3,7,13,17,19,23,29,37,41,43,47,53,59,67,71}),11)=0,0,IF(MOD(SUMPRODUCT(VALUE(MID(TEXT(VALUE(IF(ISNUMBER(FIND("-",TEXT(Z40,"@"))),LEFT(TEXT(Z40,"@"),FIND("-",TEXT(Z40,"@"))-1),TEXT(Z40,"@"))),"000000000000000"),{15,14,13,12,11,10,9,8,7,6,5,4,3,2,1},1)),{3,7,13,17,19,23,29,37,41,43,47,53,59,67,71}),11)=1,1,11-MOD(SUMPRODUCT(VALUE(MID(TEXT(VALUE(IF(ISNUMBER(FIND("-",TEXT(Z40,"@"))),LEFT(TEXT(Z40,"@"),FIND("-",TEXT(Z40,"@"))-1),TEXT(Z40,"@"))),"000000000000000"),{15,14,13,12,11,10,9,8,7,6,5,4,3,2,1},1)),{3,7,13,17,19,23,29,37,41,43,47,53,59,67,71}),11))))))</f>
        <v>7</v>
      </c>
      <c r="AB40" s="26">
        <v>80101511</v>
      </c>
      <c r="AC40" s="29">
        <f t="shared" si="3"/>
        <v>329</v>
      </c>
      <c r="AD40" s="19">
        <v>1426</v>
      </c>
      <c r="AE40" s="19">
        <v>7926</v>
      </c>
      <c r="AF40" s="19" t="s">
        <v>39</v>
      </c>
    </row>
    <row r="41" spans="1:32" ht="61.5" customHeight="1" x14ac:dyDescent="0.35">
      <c r="A41" s="1" t="str">
        <f>[1]Contratos!A41</f>
        <v>CONTRATO 40 DE 2026</v>
      </c>
      <c r="B41" s="10" t="str">
        <f>[1]Contratos!B41</f>
        <v xml:space="preserve">KANTAR IBOPE MEDIA </v>
      </c>
      <c r="C41" s="10" t="str">
        <f>[1]Contratos!E41</f>
        <v>Contratación directa</v>
      </c>
      <c r="D41" s="10" t="s">
        <v>132</v>
      </c>
      <c r="E41" s="11" t="str">
        <f>[1]Contratos!F41</f>
        <v xml:space="preserve">Adquirir la información exclusiva de Kantar Ibope Media Colombia S.A.S. de medición de audiencias con la tecnología People Meters para los servicios de televisión abierta, que posibilite realizar una medición de audiencias respecto del consumo de televisión y de información de pauta publicitaria de bebidas alcohólicas, para los meses de enero a noviembre de 2026.
</v>
      </c>
      <c r="F41" s="12">
        <v>157080000</v>
      </c>
      <c r="G41" s="13">
        <f>[1]Contratos!G41</f>
        <v>157080000</v>
      </c>
      <c r="H41" s="14" t="str">
        <f>IFERROR(VLOOKUP(A41, [1]Otrosí!A:F, 6, FALSE), "0")</f>
        <v>0</v>
      </c>
      <c r="I41" s="13">
        <f t="shared" si="0"/>
        <v>157080000</v>
      </c>
      <c r="J41" s="15">
        <v>16876363</v>
      </c>
      <c r="K41" s="13">
        <f t="shared" si="1"/>
        <v>140203637</v>
      </c>
      <c r="L41" s="16">
        <f t="shared" si="2"/>
        <v>0.10743801247771836</v>
      </c>
      <c r="M41" s="17">
        <f>[1]Contratos!O41</f>
        <v>46043</v>
      </c>
      <c r="N41" s="17">
        <f>[1]Contratos!P41</f>
        <v>46049</v>
      </c>
      <c r="O41" s="17">
        <f>[1]Contratos!Q41</f>
        <v>46387</v>
      </c>
      <c r="P41" s="17" t="str">
        <f>IFERROR(VLOOKUP(A41, [1]Otrosí!A:L, 7, FALSE), "N/A")</f>
        <v>N/A</v>
      </c>
      <c r="Q41" s="18" t="s">
        <v>73</v>
      </c>
      <c r="R41" s="19" t="s">
        <v>34</v>
      </c>
      <c r="S41" s="20" t="s">
        <v>133</v>
      </c>
      <c r="T41" s="21" t="s">
        <v>36</v>
      </c>
      <c r="U41" s="10" t="str">
        <f>[1]Contratos!C41</f>
        <v>PJ</v>
      </c>
      <c r="V41" s="10" t="str">
        <f>[1]Contratos!I41</f>
        <v>ANALÍTICA DE DATOS</v>
      </c>
      <c r="W41" s="22" t="str">
        <f>[1]Contratos!J41</f>
        <v>MIGUEL DURÁN</v>
      </c>
      <c r="X41" s="23" cm="1">
        <f t="array" ref="X41">IFERROR(VLOOKUP(W41,[1]COORD!$A$30:$B$66, 2, FALSE),[1]COORD!$B$30:$B$66)</f>
        <v>92541020</v>
      </c>
      <c r="Y41" s="24" t="s">
        <v>75</v>
      </c>
      <c r="Z41" s="25">
        <v>800174162</v>
      </c>
      <c r="AA41" s="26" cm="1">
        <f t="array" ref="AA41">IF(Y41&lt;&gt;"NIT","N/A",IF(OR(Z41="",Z41="N/A"),"N/A",IF(ISERROR(VALUE(IF(ISNUMBER(FIND("-",TEXT(Z41,"@"))),LEFT(TEXT(Z41,"@"),FIND("-",TEXT(Z41,"@"))-1),TEXT(Z41,"@")))),"N/A",IF(MOD(SUMPRODUCT(VALUE(MID(TEXT(VALUE(IF(ISNUMBER(FIND("-",TEXT(Z41,"@"))),LEFT(TEXT(Z41,"@"),FIND("-",TEXT(Z41,"@"))-1),TEXT(Z41,"@"))),"000000000000000"),{15,14,13,12,11,10,9,8,7,6,5,4,3,2,1},1)),{3,7,13,17,19,23,29,37,41,43,47,53,59,67,71}),11)=0,0,IF(MOD(SUMPRODUCT(VALUE(MID(TEXT(VALUE(IF(ISNUMBER(FIND("-",TEXT(Z41,"@"))),LEFT(TEXT(Z41,"@"),FIND("-",TEXT(Z41,"@"))-1),TEXT(Z41,"@"))),"000000000000000"),{15,14,13,12,11,10,9,8,7,6,5,4,3,2,1},1)),{3,7,13,17,19,23,29,37,41,43,47,53,59,67,71}),11)=1,1,11-MOD(SUMPRODUCT(VALUE(MID(TEXT(VALUE(IF(ISNUMBER(FIND("-",TEXT(Z41,"@"))),LEFT(TEXT(Z41,"@"),FIND("-",TEXT(Z41,"@"))-1),TEXT(Z41,"@"))),"000000000000000"),{15,14,13,12,11,10,9,8,7,6,5,4,3,2,1},1)),{3,7,13,17,19,23,29,37,41,43,47,53,59,67,71}),11))))))</f>
        <v>3</v>
      </c>
      <c r="AB41" s="26">
        <v>81131504</v>
      </c>
      <c r="AC41" s="29">
        <f t="shared" si="3"/>
        <v>344</v>
      </c>
      <c r="AD41" s="19">
        <v>5426</v>
      </c>
      <c r="AE41" s="19">
        <v>7526</v>
      </c>
      <c r="AF41" s="19" t="s">
        <v>39</v>
      </c>
    </row>
    <row r="42" spans="1:32" ht="61.5" customHeight="1" x14ac:dyDescent="0.35">
      <c r="A42" s="1" t="str">
        <f>[1]Contratos!A42</f>
        <v>CONTRATO 41 DE 2026</v>
      </c>
      <c r="B42" s="10" t="s">
        <v>134</v>
      </c>
      <c r="C42" s="10" t="str">
        <f>[1]Contratos!E42</f>
        <v>Prestación de servicios profesionales o Apoyo a la gestión</v>
      </c>
      <c r="D42" s="10" t="s">
        <v>135</v>
      </c>
      <c r="E42" s="11" t="str">
        <f>[1]Contratos!F42</f>
        <v>Prestación de servicios profesionales altamente especializados para el análisis regulatorio y económico de mercados de telecomunicaciones y ecosistemas digitales, con énfasis en neutralidad de red, conectividad mayorista, esquemas de remuneración móvil, servicios OTT y nuevas tecnologías de acceso de última milla, para apoyar la estructuración y desarrollo de los proyectos y estudios de las coordinaciones de Diseño Regulatorio y Prospectiva Estratégica e Innovación, conforme a lo previsto en el plan de acción de la CRC en la vigencia y la Agenda Regulatoria 2026-2027.</v>
      </c>
      <c r="F42" s="12">
        <v>146729314</v>
      </c>
      <c r="G42" s="13">
        <f>[1]Contratos!G42</f>
        <v>146729314</v>
      </c>
      <c r="H42" s="14" t="str">
        <f>IFERROR(VLOOKUP(A42, [1]Otrosí!A:F, 6, FALSE), "0")</f>
        <v>0</v>
      </c>
      <c r="I42" s="13">
        <f t="shared" si="0"/>
        <v>146729314</v>
      </c>
      <c r="J42" s="15">
        <v>88106153</v>
      </c>
      <c r="K42" s="13">
        <f t="shared" si="1"/>
        <v>58623161</v>
      </c>
      <c r="L42" s="16">
        <f t="shared" si="2"/>
        <v>0.60046728631199076</v>
      </c>
      <c r="M42" s="17">
        <f>[1]Contratos!O42</f>
        <v>46045</v>
      </c>
      <c r="N42" s="17">
        <f>[1]Contratos!P42</f>
        <v>46045</v>
      </c>
      <c r="O42" s="17">
        <f>[1]Contratos!Q42</f>
        <v>46387</v>
      </c>
      <c r="P42" s="17" t="str">
        <f>IFERROR(VLOOKUP(A42, [1]Otrosí!A:L, 7, FALSE), "N/A")</f>
        <v>N/A</v>
      </c>
      <c r="Q42" s="18" t="s">
        <v>33</v>
      </c>
      <c r="R42" s="19" t="s">
        <v>34</v>
      </c>
      <c r="S42" s="20" t="s">
        <v>136</v>
      </c>
      <c r="T42" s="21" t="s">
        <v>36</v>
      </c>
      <c r="U42" s="10" t="str">
        <f>[1]Contratos!C42</f>
        <v>PN</v>
      </c>
      <c r="V42" s="10" t="str">
        <f>[1]Contratos!I42</f>
        <v>DISEÑO REGULATORIO</v>
      </c>
      <c r="W42" s="22" t="str">
        <f>[1]Contratos!J42</f>
        <v>ALEJANDRA ARENAS</v>
      </c>
      <c r="X42" s="23" cm="1">
        <f t="array" ref="X42">IFERROR(VLOOKUP(W42,[1]COORD!$A$30:$B$66, 2, FALSE),[1]COORD!$B$30:$B$66)</f>
        <v>1020749984</v>
      </c>
      <c r="Y42" s="24" t="s">
        <v>37</v>
      </c>
      <c r="Z42" s="25">
        <v>79949417</v>
      </c>
      <c r="AA42" s="26" t="str" cm="1">
        <f t="array" ref="AA42">IF(Y42&lt;&gt;"NIT","N/A",IF(OR(Z42="",Z42="N/A"),"N/A",IF(ISERROR(VALUE(IF(ISNUMBER(FIND("-",TEXT(Z42,"@"))),LEFT(TEXT(Z42,"@"),FIND("-",TEXT(Z42,"@"))-1),TEXT(Z42,"@")))),"N/A",IF(MOD(SUMPRODUCT(VALUE(MID(TEXT(VALUE(IF(ISNUMBER(FIND("-",TEXT(Z42,"@"))),LEFT(TEXT(Z42,"@"),FIND("-",TEXT(Z42,"@"))-1),TEXT(Z42,"@"))),"000000000000000"),{15,14,13,12,11,10,9,8,7,6,5,4,3,2,1},1)),{3,7,13,17,19,23,29,37,41,43,47,53,59,67,71}),11)=0,0,IF(MOD(SUMPRODUCT(VALUE(MID(TEXT(VALUE(IF(ISNUMBER(FIND("-",TEXT(Z42,"@"))),LEFT(TEXT(Z42,"@"),FIND("-",TEXT(Z42,"@"))-1),TEXT(Z42,"@"))),"000000000000000"),{15,14,13,12,11,10,9,8,7,6,5,4,3,2,1},1)),{3,7,13,17,19,23,29,37,41,43,47,53,59,67,71}),11)=1,1,11-MOD(SUMPRODUCT(VALUE(MID(TEXT(VALUE(IF(ISNUMBER(FIND("-",TEXT(Z42,"@"))),LEFT(TEXT(Z42,"@"),FIND("-",TEXT(Z42,"@"))-1),TEXT(Z42,"@"))),"000000000000000"),{15,14,13,12,11,10,9,8,7,6,5,4,3,2,1},1)),{3,7,13,17,19,23,29,37,41,43,47,53,59,67,71}),11))))))</f>
        <v>N/A</v>
      </c>
      <c r="AB42" s="26">
        <v>81121500</v>
      </c>
      <c r="AC42" s="29">
        <f t="shared" si="3"/>
        <v>342</v>
      </c>
      <c r="AD42" s="19">
        <v>5026</v>
      </c>
      <c r="AE42" s="19">
        <v>5126</v>
      </c>
      <c r="AF42" s="19" t="s">
        <v>39</v>
      </c>
    </row>
    <row r="43" spans="1:32" ht="61.5" customHeight="1" x14ac:dyDescent="0.35">
      <c r="A43" s="1" t="str">
        <f>[1]Contratos!A43</f>
        <v>CONTRATO 42 DE 2026</v>
      </c>
      <c r="B43" s="10" t="str">
        <f>[1]Contratos!B43</f>
        <v>LUISA TÉLLEZ</v>
      </c>
      <c r="C43" s="10" t="str">
        <f>[1]Contratos!E43</f>
        <v>Prestación de servicios profesionales o Apoyo a la gestión</v>
      </c>
      <c r="D43" s="10" t="s">
        <v>137</v>
      </c>
      <c r="E43" s="11" t="str">
        <f>[1]Contratos!F43</f>
        <v xml:space="preserve">Prestar servicios profesionales para apoyar las estrategias de pedagogía regulatoria y de alfabetización mediática 2026 de la CRC, mediante la conceptualización, producción y entrega de piezas y contenidos gráficos y audiovisuales con fines educativos y de difusión, garantizando calidad técnica, coherencia con la identidad visual, accesibilidad y comunicación inclusiva, utilizando sus propios equipos y actuando con autonomía profesional. </v>
      </c>
      <c r="F43" s="12">
        <v>70575500</v>
      </c>
      <c r="G43" s="13">
        <f>[1]Contratos!G43</f>
        <v>70575500</v>
      </c>
      <c r="H43" s="14" t="str">
        <f>IFERROR(VLOOKUP(A43, [1]Otrosí!A:F, 6, FALSE), "0")</f>
        <v>0</v>
      </c>
      <c r="I43" s="13">
        <f t="shared" si="0"/>
        <v>70575500</v>
      </c>
      <c r="J43" s="15">
        <v>39890500</v>
      </c>
      <c r="K43" s="13">
        <f t="shared" si="1"/>
        <v>30685000</v>
      </c>
      <c r="L43" s="16">
        <f t="shared" si="2"/>
        <v>0.56521739130434778</v>
      </c>
      <c r="M43" s="17">
        <f>[1]Contratos!O43</f>
        <v>46036</v>
      </c>
      <c r="N43" s="17">
        <f>[1]Contratos!P43</f>
        <v>46038</v>
      </c>
      <c r="O43" s="17">
        <f>[1]Contratos!Q43</f>
        <v>46387</v>
      </c>
      <c r="P43" s="17" t="str">
        <f>IFERROR(VLOOKUP(A43, [1]Otrosí!A:L, 7, FALSE), "N/A")</f>
        <v>N/A</v>
      </c>
      <c r="Q43" s="18" t="s">
        <v>33</v>
      </c>
      <c r="R43" s="19" t="s">
        <v>34</v>
      </c>
      <c r="S43" s="20" t="s">
        <v>138</v>
      </c>
      <c r="T43" s="21" t="s">
        <v>36</v>
      </c>
      <c r="U43" s="10" t="str">
        <f>[1]Contratos!C43</f>
        <v>PN</v>
      </c>
      <c r="V43" s="10" t="str">
        <f>[1]Contratos!I43</f>
        <v>PEDAGOGÍA REGULATORIA</v>
      </c>
      <c r="W43" s="22" t="str">
        <f>[1]Contratos!J43</f>
        <v>RICARDO RAMÍREZ</v>
      </c>
      <c r="X43" s="23" cm="1">
        <f t="array" ref="X43">IFERROR(VLOOKUP(W43,[1]COORD!$A$30:$B$66, 2, FALSE),[1]COORD!$B$30:$B$66)</f>
        <v>79444533</v>
      </c>
      <c r="Y43" s="24" t="s">
        <v>37</v>
      </c>
      <c r="Z43" s="25">
        <v>1019036888</v>
      </c>
      <c r="AA43" s="26" t="str" cm="1">
        <f t="array" ref="AA43">IF(Y43&lt;&gt;"NIT","N/A",IF(OR(Z43="",Z43="N/A"),"N/A",IF(ISERROR(VALUE(IF(ISNUMBER(FIND("-",TEXT(Z43,"@"))),LEFT(TEXT(Z43,"@"),FIND("-",TEXT(Z43,"@"))-1),TEXT(Z43,"@")))),"N/A",IF(MOD(SUMPRODUCT(VALUE(MID(TEXT(VALUE(IF(ISNUMBER(FIND("-",TEXT(Z43,"@"))),LEFT(TEXT(Z43,"@"),FIND("-",TEXT(Z43,"@"))-1),TEXT(Z43,"@"))),"000000000000000"),{15,14,13,12,11,10,9,8,7,6,5,4,3,2,1},1)),{3,7,13,17,19,23,29,37,41,43,47,53,59,67,71}),11)=0,0,IF(MOD(SUMPRODUCT(VALUE(MID(TEXT(VALUE(IF(ISNUMBER(FIND("-",TEXT(Z43,"@"))),LEFT(TEXT(Z43,"@"),FIND("-",TEXT(Z43,"@"))-1),TEXT(Z43,"@"))),"000000000000000"),{15,14,13,12,11,10,9,8,7,6,5,4,3,2,1},1)),{3,7,13,17,19,23,29,37,41,43,47,53,59,67,71}),11)=1,1,11-MOD(SUMPRODUCT(VALUE(MID(TEXT(VALUE(IF(ISNUMBER(FIND("-",TEXT(Z43,"@"))),LEFT(TEXT(Z43,"@"),FIND("-",TEXT(Z43,"@"))-1),TEXT(Z43,"@"))),"000000000000000"),{15,14,13,12,11,10,9,8,7,6,5,4,3,2,1},1)),{3,7,13,17,19,23,29,37,41,43,47,53,59,67,71}),11))))))</f>
        <v>N/A</v>
      </c>
      <c r="AB43" s="26">
        <v>82131602</v>
      </c>
      <c r="AC43" s="29">
        <f t="shared" si="3"/>
        <v>351</v>
      </c>
      <c r="AD43" s="19">
        <v>5226</v>
      </c>
      <c r="AE43" s="19">
        <v>3826</v>
      </c>
      <c r="AF43" s="19" t="s">
        <v>39</v>
      </c>
    </row>
    <row r="44" spans="1:32" ht="61.5" customHeight="1" x14ac:dyDescent="0.35">
      <c r="A44" s="1" t="str">
        <f>[1]Contratos!A44</f>
        <v>CONTRATO 43 DE 2026</v>
      </c>
      <c r="B44" s="10" t="str">
        <f>[1]Contratos!B44</f>
        <v>DUQUE BOTERO CONSULTORES</v>
      </c>
      <c r="C44" s="10" t="str">
        <f>[1]Contratos!E44</f>
        <v>Prestación de servicios profesionales o Apoyo a la gestión</v>
      </c>
      <c r="D44" s="10" t="s">
        <v>139</v>
      </c>
      <c r="E44" s="11" t="str">
        <f>[1]Contratos!F44</f>
        <v>Prestar servicios profesionales en derecho, con énfasis en derecho administrativo y contratación estatal, para ofrecer apoyo jurídico especializado a la CRC mediante la elaboración de conceptos, análisis normativos y acompañamiento jurídico en los procesos precontractuales, contractuales y postcontractuales que adelante la Entidad. El servicio incluirá la revisión de asuntos jurídicos complejos y la formulación de recomendaciones que contribuyan a la adecuada gestión contractual y regulatoria en el marco del Plan de Acción Institucional y de las actividades que la Entidad programe para la vigencia 2026.</v>
      </c>
      <c r="F44" s="12">
        <v>40232830</v>
      </c>
      <c r="G44" s="13">
        <f>[1]Contratos!G44</f>
        <v>40232830</v>
      </c>
      <c r="H44" s="14" t="str">
        <f>IFERROR(VLOOKUP(A44, [1]Otrosí!A:F, 6, FALSE), "0")</f>
        <v>0</v>
      </c>
      <c r="I44" s="13">
        <f t="shared" si="0"/>
        <v>40232830</v>
      </c>
      <c r="J44" s="15">
        <v>9327612</v>
      </c>
      <c r="K44" s="13">
        <f t="shared" si="1"/>
        <v>30905218</v>
      </c>
      <c r="L44" s="16">
        <f t="shared" si="2"/>
        <v>0.23184081259011607</v>
      </c>
      <c r="M44" s="17">
        <f>[1]Contratos!O44</f>
        <v>46036</v>
      </c>
      <c r="N44" s="17">
        <f>[1]Contratos!P44</f>
        <v>46037</v>
      </c>
      <c r="O44" s="17">
        <f>[1]Contratos!Q44</f>
        <v>46387</v>
      </c>
      <c r="P44" s="17" t="str">
        <f>IFERROR(VLOOKUP(A44, [1]Otrosí!A:L, 7, FALSE), "N/A")</f>
        <v>N/A</v>
      </c>
      <c r="Q44" s="18" t="s">
        <v>33</v>
      </c>
      <c r="R44" s="19" t="s">
        <v>34</v>
      </c>
      <c r="S44" s="31" t="s">
        <v>140</v>
      </c>
      <c r="T44" s="21" t="s">
        <v>36</v>
      </c>
      <c r="U44" s="10" t="str">
        <f>[1]Contratos!C44</f>
        <v>PJ</v>
      </c>
      <c r="V44" s="10" t="str">
        <f>[1]Contratos!I44</f>
        <v>COORDINACIÓN EJECUTIVA</v>
      </c>
      <c r="W44" s="22" t="str">
        <f>[1]Contratos!J44</f>
        <v>MARGARITA GIL</v>
      </c>
      <c r="X44" s="23" cm="1">
        <f t="array" ref="X44">IFERROR(VLOOKUP(W44,[1]COORD!$A$30:$B$66, 2, FALSE),[1]COORD!$B$30:$B$66)</f>
        <v>52711453</v>
      </c>
      <c r="Y44" s="24" t="s">
        <v>75</v>
      </c>
      <c r="Z44" s="25">
        <v>901278666</v>
      </c>
      <c r="AA44" s="26" cm="1">
        <f t="array" ref="AA44">IF(Y44&lt;&gt;"NIT","N/A",IF(OR(Z44="",Z44="N/A"),"N/A",IF(ISERROR(VALUE(IF(ISNUMBER(FIND("-",TEXT(Z44,"@"))),LEFT(TEXT(Z44,"@"),FIND("-",TEXT(Z44,"@"))-1),TEXT(Z44,"@")))),"N/A",IF(MOD(SUMPRODUCT(VALUE(MID(TEXT(VALUE(IF(ISNUMBER(FIND("-",TEXT(Z44,"@"))),LEFT(TEXT(Z44,"@"),FIND("-",TEXT(Z44,"@"))-1),TEXT(Z44,"@"))),"000000000000000"),{15,14,13,12,11,10,9,8,7,6,5,4,3,2,1},1)),{3,7,13,17,19,23,29,37,41,43,47,53,59,67,71}),11)=0,0,IF(MOD(SUMPRODUCT(VALUE(MID(TEXT(VALUE(IF(ISNUMBER(FIND("-",TEXT(Z44,"@"))),LEFT(TEXT(Z44,"@"),FIND("-",TEXT(Z44,"@"))-1),TEXT(Z44,"@"))),"000000000000000"),{15,14,13,12,11,10,9,8,7,6,5,4,3,2,1},1)),{3,7,13,17,19,23,29,37,41,43,47,53,59,67,71}),11)=1,1,11-MOD(SUMPRODUCT(VALUE(MID(TEXT(VALUE(IF(ISNUMBER(FIND("-",TEXT(Z44,"@"))),LEFT(TEXT(Z44,"@"),FIND("-",TEXT(Z44,"@"))-1),TEXT(Z44,"@"))),"000000000000000"),{15,14,13,12,11,10,9,8,7,6,5,4,3,2,1},1)),{3,7,13,17,19,23,29,37,41,43,47,53,59,67,71}),11))))))</f>
        <v>7</v>
      </c>
      <c r="AB44" s="26">
        <v>80121704</v>
      </c>
      <c r="AC44" s="29">
        <f t="shared" si="3"/>
        <v>351</v>
      </c>
      <c r="AD44" s="19">
        <v>5526</v>
      </c>
      <c r="AE44" s="19">
        <v>1926</v>
      </c>
      <c r="AF44" s="19" t="s">
        <v>39</v>
      </c>
    </row>
    <row r="45" spans="1:32" ht="61.5" customHeight="1" x14ac:dyDescent="0.35">
      <c r="A45" s="1" t="str">
        <f>[1]Contratos!A45</f>
        <v>CONTRATO 44 DE 2026</v>
      </c>
      <c r="B45" s="10" t="str">
        <f>[1]Contratos!B45</f>
        <v>PEDRO JOSE LEAL MESA</v>
      </c>
      <c r="C45" s="10" t="str">
        <f>[1]Contratos!E45</f>
        <v>Prestación de servicios profesionales o Apoyo a la gestión</v>
      </c>
      <c r="D45" s="10" t="s">
        <v>141</v>
      </c>
      <c r="E45" s="11" t="str">
        <f>[1]Contratos!F45</f>
        <v xml:space="preserve">
Prestación de servicios profesionales para apoyar el desarrollo y optimización de herramientas de analítica y visualización de datos, de acuerdo con lo previsto en la Agenda Regulatoria 2026-2027 y el Plan de Acción de la CRC para el año 2026.
</v>
      </c>
      <c r="F45" s="12">
        <v>66294096</v>
      </c>
      <c r="G45" s="13">
        <f>[1]Contratos!G45</f>
        <v>66294096</v>
      </c>
      <c r="H45" s="14" t="str">
        <f>IFERROR(VLOOKUP(A45, [1]Otrosí!A:F, 6, FALSE), "0")</f>
        <v>0</v>
      </c>
      <c r="I45" s="13">
        <f t="shared" si="0"/>
        <v>66294096</v>
      </c>
      <c r="J45" s="15">
        <v>31705872</v>
      </c>
      <c r="K45" s="13">
        <f t="shared" si="1"/>
        <v>34588224</v>
      </c>
      <c r="L45" s="16">
        <f t="shared" si="2"/>
        <v>0.47826086956521741</v>
      </c>
      <c r="M45" s="17">
        <f>[1]Contratos!O45</f>
        <v>46037</v>
      </c>
      <c r="N45" s="17">
        <f>[1]Contratos!P45</f>
        <v>46038</v>
      </c>
      <c r="O45" s="17">
        <f>[1]Contratos!Q45</f>
        <v>46387</v>
      </c>
      <c r="P45" s="17" t="str">
        <f>IFERROR(VLOOKUP(A45, [1]Otrosí!A:L, 7, FALSE), "N/A")</f>
        <v>N/A</v>
      </c>
      <c r="Q45" s="18" t="s">
        <v>33</v>
      </c>
      <c r="R45" s="19" t="s">
        <v>34</v>
      </c>
      <c r="S45" s="20" t="s">
        <v>142</v>
      </c>
      <c r="T45" s="21" t="s">
        <v>36</v>
      </c>
      <c r="U45" s="10" t="str">
        <f>[1]Contratos!C45</f>
        <v>PN</v>
      </c>
      <c r="V45" s="10" t="str">
        <f>[1]Contratos!I45</f>
        <v>ANALÍTICA DE DATOS</v>
      </c>
      <c r="W45" s="22" t="str">
        <f>[1]Contratos!J45</f>
        <v>MIGUEL DURÁN</v>
      </c>
      <c r="X45" s="23" cm="1">
        <f t="array" ref="X45">IFERROR(VLOOKUP(W45,[1]COORD!$A$30:$B$66, 2, FALSE),[1]COORD!$B$30:$B$66)</f>
        <v>92541020</v>
      </c>
      <c r="Y45" s="24" t="s">
        <v>37</v>
      </c>
      <c r="Z45" s="25">
        <v>1233910198</v>
      </c>
      <c r="AA45" s="26" t="str" cm="1">
        <f t="array" ref="AA45">IF(Y45&lt;&gt;"NIT","N/A",IF(OR(Z45="",Z45="N/A"),"N/A",IF(ISERROR(VALUE(IF(ISNUMBER(FIND("-",TEXT(Z45,"@"))),LEFT(TEXT(Z45,"@"),FIND("-",TEXT(Z45,"@"))-1),TEXT(Z45,"@")))),"N/A",IF(MOD(SUMPRODUCT(VALUE(MID(TEXT(VALUE(IF(ISNUMBER(FIND("-",TEXT(Z45,"@"))),LEFT(TEXT(Z45,"@"),FIND("-",TEXT(Z45,"@"))-1),TEXT(Z45,"@"))),"000000000000000"),{15,14,13,12,11,10,9,8,7,6,5,4,3,2,1},1)),{3,7,13,17,19,23,29,37,41,43,47,53,59,67,71}),11)=0,0,IF(MOD(SUMPRODUCT(VALUE(MID(TEXT(VALUE(IF(ISNUMBER(FIND("-",TEXT(Z45,"@"))),LEFT(TEXT(Z45,"@"),FIND("-",TEXT(Z45,"@"))-1),TEXT(Z45,"@"))),"000000000000000"),{15,14,13,12,11,10,9,8,7,6,5,4,3,2,1},1)),{3,7,13,17,19,23,29,37,41,43,47,53,59,67,71}),11)=1,1,11-MOD(SUMPRODUCT(VALUE(MID(TEXT(VALUE(IF(ISNUMBER(FIND("-",TEXT(Z45,"@"))),LEFT(TEXT(Z45,"@"),FIND("-",TEXT(Z45,"@"))-1),TEXT(Z45,"@"))),"000000000000000"),{15,14,13,12,11,10,9,8,7,6,5,4,3,2,1},1)),{3,7,13,17,19,23,29,37,41,43,47,53,59,67,71}),11))))))</f>
        <v>N/A</v>
      </c>
      <c r="AB45" s="26">
        <v>81131500</v>
      </c>
      <c r="AC45" s="29">
        <f t="shared" si="3"/>
        <v>350</v>
      </c>
      <c r="AD45" s="19">
        <v>6426</v>
      </c>
      <c r="AE45" s="19">
        <v>4326</v>
      </c>
      <c r="AF45" s="19" t="s">
        <v>39</v>
      </c>
    </row>
    <row r="46" spans="1:32" ht="61.5" customHeight="1" x14ac:dyDescent="0.35">
      <c r="A46" s="1" t="str">
        <f>[1]Contratos!A46</f>
        <v>CONTRATO 45 DE 2026</v>
      </c>
      <c r="B46" s="10" t="s">
        <v>143</v>
      </c>
      <c r="C46" s="10" t="str">
        <f>[1]Contratos!E46</f>
        <v>Prestación de servicios profesionales o Apoyo a la gestión</v>
      </c>
      <c r="D46" s="10" t="s">
        <v>144</v>
      </c>
      <c r="E46" s="11" t="str">
        <f>[1]Contratos!F46</f>
        <v>Prestar servicios profesionales altamente especializados en el área del derecho de las telecomunicaciones, la regulación económica y el derecho de la competencia, tendiente a apoyar a la Comisión de Regulación de Comunicaciones (CRC) en el análisis, desarrollo y fortalecimiento de sus estrategias jurídicas y regulatorias. El objetivo es contribuir eficazmente a la prevención del daño antijurídico, desde la expedición de actos administrativos complejos hasta la defensa de estos en estrados judiciales</v>
      </c>
      <c r="F46" s="12">
        <v>487143000</v>
      </c>
      <c r="G46" s="13">
        <f>[1]Contratos!G46</f>
        <v>487143000</v>
      </c>
      <c r="H46" s="14" t="str">
        <f>IFERROR(VLOOKUP(A46, [1]Otrosí!A:F, 6, FALSE), "0")</f>
        <v>0</v>
      </c>
      <c r="I46" s="13">
        <f t="shared" si="0"/>
        <v>487143000</v>
      </c>
      <c r="J46" s="15">
        <v>152038504</v>
      </c>
      <c r="K46" s="13">
        <f t="shared" si="1"/>
        <v>335104496</v>
      </c>
      <c r="L46" s="16">
        <f t="shared" si="2"/>
        <v>0.31210240935413214</v>
      </c>
      <c r="M46" s="17">
        <f>[1]Contratos!O46</f>
        <v>46037</v>
      </c>
      <c r="N46" s="17">
        <f>[1]Contratos!P46</f>
        <v>46043</v>
      </c>
      <c r="O46" s="17">
        <f>[1]Contratos!Q46</f>
        <v>46387</v>
      </c>
      <c r="P46" s="17" t="str">
        <f>IFERROR(VLOOKUP(A46, [1]Otrosí!A:L, 7, FALSE), "N/A")</f>
        <v>N/A</v>
      </c>
      <c r="Q46" s="18" t="s">
        <v>33</v>
      </c>
      <c r="R46" s="19" t="s">
        <v>34</v>
      </c>
      <c r="S46" s="20" t="s">
        <v>145</v>
      </c>
      <c r="T46" s="21" t="s">
        <v>36</v>
      </c>
      <c r="U46" s="10" t="str">
        <f>[1]Contratos!C46</f>
        <v>PN</v>
      </c>
      <c r="V46" s="10" t="str">
        <f>[1]Contratos!I46</f>
        <v>DISEÑO REGULATORIO / GESTIÓN JURÍDICA</v>
      </c>
      <c r="W46" s="22" t="str">
        <f>[1]Contratos!J46</f>
        <v>VICTOR SANDOVAL</v>
      </c>
      <c r="X46" s="23" cm="1">
        <f t="array" ref="X46">IFERROR(VLOOKUP(W46,[1]COORD!$A$30:$B$66, 2, FALSE),[1]COORD!$B$30:$B$66)</f>
        <v>1026264211</v>
      </c>
      <c r="Y46" s="24" t="s">
        <v>37</v>
      </c>
      <c r="Z46" s="25">
        <v>75077160</v>
      </c>
      <c r="AA46" s="26" t="str" cm="1">
        <f t="array" ref="AA46">IF(Y46&lt;&gt;"NIT","N/A",IF(OR(Z46="",Z46="N/A"),"N/A",IF(ISERROR(VALUE(IF(ISNUMBER(FIND("-",TEXT(Z46,"@"))),LEFT(TEXT(Z46,"@"),FIND("-",TEXT(Z46,"@"))-1),TEXT(Z46,"@")))),"N/A",IF(MOD(SUMPRODUCT(VALUE(MID(TEXT(VALUE(IF(ISNUMBER(FIND("-",TEXT(Z46,"@"))),LEFT(TEXT(Z46,"@"),FIND("-",TEXT(Z46,"@"))-1),TEXT(Z46,"@"))),"000000000000000"),{15,14,13,12,11,10,9,8,7,6,5,4,3,2,1},1)),{3,7,13,17,19,23,29,37,41,43,47,53,59,67,71}),11)=0,0,IF(MOD(SUMPRODUCT(VALUE(MID(TEXT(VALUE(IF(ISNUMBER(FIND("-",TEXT(Z46,"@"))),LEFT(TEXT(Z46,"@"),FIND("-",TEXT(Z46,"@"))-1),TEXT(Z46,"@"))),"000000000000000"),{15,14,13,12,11,10,9,8,7,6,5,4,3,2,1},1)),{3,7,13,17,19,23,29,37,41,43,47,53,59,67,71}),11)=1,1,11-MOD(SUMPRODUCT(VALUE(MID(TEXT(VALUE(IF(ISNUMBER(FIND("-",TEXT(Z46,"@"))),LEFT(TEXT(Z46,"@"),FIND("-",TEXT(Z46,"@"))-1),TEXT(Z46,"@"))),"000000000000000"),{15,14,13,12,11,10,9,8,7,6,5,4,3,2,1},1)),{3,7,13,17,19,23,29,37,41,43,47,53,59,67,71}),11))))))</f>
        <v>N/A</v>
      </c>
      <c r="AB46" s="26">
        <v>80121601</v>
      </c>
      <c r="AC46" s="29">
        <f t="shared" si="3"/>
        <v>350</v>
      </c>
      <c r="AD46" s="19">
        <v>5126</v>
      </c>
      <c r="AE46" s="19">
        <v>6026</v>
      </c>
      <c r="AF46" s="19" t="s">
        <v>39</v>
      </c>
    </row>
    <row r="47" spans="1:32" ht="61.5" customHeight="1" x14ac:dyDescent="0.35">
      <c r="A47" s="1" t="str">
        <f>[1]Contratos!A47</f>
        <v>CONTRATO 46 DE 2026</v>
      </c>
      <c r="B47" s="10" t="s">
        <v>146</v>
      </c>
      <c r="C47" s="10" t="str">
        <f>[1]Contratos!E47</f>
        <v>Prestación de servicios profesionales o Apoyo a la gestión</v>
      </c>
      <c r="D47" s="10" t="s">
        <v>147</v>
      </c>
      <c r="E47" s="11" t="str">
        <f>[1]Contratos!F47</f>
        <v>Contratar servicios profesionales especializados en el ámbito del derecho público, orientados a la prestación de apoyo jurídico estratégico a la Comisión de Regulación de Comunicaciones – CRC en la atención, análisis y gestión de asuntos jurídicos de alta complejidad en materia de derecho administrativo, derecho administrativo laboral, régimen sancionatorio y disciplinario. El servicio comprenderá la elaboración de análisis jurídicos, la formulación de estrategias de defensa y el acompañamiento técnico-jurídico en los procesos judiciales y actuaciones administrativas en los que intervenga la Entidad, de conformidad con sus competencias y necesidades institucionales</v>
      </c>
      <c r="F47" s="12">
        <v>200299995</v>
      </c>
      <c r="G47" s="13">
        <f>[1]Contratos!G47</f>
        <v>200299995</v>
      </c>
      <c r="H47" s="14" t="str">
        <f>IFERROR(VLOOKUP(A47, [1]Otrosí!A:F, 6, FALSE), "0")</f>
        <v>0</v>
      </c>
      <c r="I47" s="13">
        <f t="shared" si="0"/>
        <v>200299995</v>
      </c>
      <c r="J47" s="15">
        <v>92221440</v>
      </c>
      <c r="K47" s="13">
        <f t="shared" si="1"/>
        <v>108078555</v>
      </c>
      <c r="L47" s="16">
        <f t="shared" si="2"/>
        <v>0.46041658663046897</v>
      </c>
      <c r="M47" s="17">
        <f>[1]Contratos!O47</f>
        <v>46036</v>
      </c>
      <c r="N47" s="17">
        <f>[1]Contratos!P47</f>
        <v>46041</v>
      </c>
      <c r="O47" s="17">
        <f>[1]Contratos!Q47</f>
        <v>46387</v>
      </c>
      <c r="P47" s="17" t="str">
        <f>IFERROR(VLOOKUP(A47, [1]Otrosí!A:L, 7, FALSE), "N/A")</f>
        <v>N/A</v>
      </c>
      <c r="Q47" s="18" t="s">
        <v>33</v>
      </c>
      <c r="R47" s="19" t="s">
        <v>34</v>
      </c>
      <c r="S47" s="20" t="s">
        <v>148</v>
      </c>
      <c r="T47" s="21" t="s">
        <v>36</v>
      </c>
      <c r="U47" s="10" t="str">
        <f>[1]Contratos!C47</f>
        <v>PN</v>
      </c>
      <c r="V47" s="10" t="str">
        <f>[1]Contratos!I47</f>
        <v>GESTIÓN JURÍDICA</v>
      </c>
      <c r="W47" s="22" t="str">
        <f>[1]Contratos!J47</f>
        <v>VICTOR SANDOVAL</v>
      </c>
      <c r="X47" s="23" cm="1">
        <f t="array" ref="X47">IFERROR(VLOOKUP(W47,[1]COORD!$A$30:$B$66, 2, FALSE),[1]COORD!$B$30:$B$66)</f>
        <v>1026264211</v>
      </c>
      <c r="Y47" s="24" t="s">
        <v>37</v>
      </c>
      <c r="Z47" s="25">
        <v>80088885</v>
      </c>
      <c r="AA47" s="26" t="str" cm="1">
        <f t="array" ref="AA47">IF(Y47&lt;&gt;"NIT","N/A",IF(OR(Z47="",Z47="N/A"),"N/A",IF(ISERROR(VALUE(IF(ISNUMBER(FIND("-",TEXT(Z47,"@"))),LEFT(TEXT(Z47,"@"),FIND("-",TEXT(Z47,"@"))-1),TEXT(Z47,"@")))),"N/A",IF(MOD(SUMPRODUCT(VALUE(MID(TEXT(VALUE(IF(ISNUMBER(FIND("-",TEXT(Z47,"@"))),LEFT(TEXT(Z47,"@"),FIND("-",TEXT(Z47,"@"))-1),TEXT(Z47,"@"))),"000000000000000"),{15,14,13,12,11,10,9,8,7,6,5,4,3,2,1},1)),{3,7,13,17,19,23,29,37,41,43,47,53,59,67,71}),11)=0,0,IF(MOD(SUMPRODUCT(VALUE(MID(TEXT(VALUE(IF(ISNUMBER(FIND("-",TEXT(Z47,"@"))),LEFT(TEXT(Z47,"@"),FIND("-",TEXT(Z47,"@"))-1),TEXT(Z47,"@"))),"000000000000000"),{15,14,13,12,11,10,9,8,7,6,5,4,3,2,1},1)),{3,7,13,17,19,23,29,37,41,43,47,53,59,67,71}),11)=1,1,11-MOD(SUMPRODUCT(VALUE(MID(TEXT(VALUE(IF(ISNUMBER(FIND("-",TEXT(Z47,"@"))),LEFT(TEXT(Z47,"@"),FIND("-",TEXT(Z47,"@"))-1),TEXT(Z47,"@"))),"000000000000000"),{15,14,13,12,11,10,9,8,7,6,5,4,3,2,1},1)),{3,7,13,17,19,23,29,37,41,43,47,53,59,67,71}),11))))))</f>
        <v>N/A</v>
      </c>
      <c r="AB47" s="26">
        <v>80121601</v>
      </c>
      <c r="AC47" s="29">
        <f t="shared" si="3"/>
        <v>351</v>
      </c>
      <c r="AD47" s="19">
        <v>4726</v>
      </c>
      <c r="AE47" s="19">
        <v>5526</v>
      </c>
      <c r="AF47" s="19" t="s">
        <v>39</v>
      </c>
    </row>
    <row r="48" spans="1:32" ht="61.5" customHeight="1" x14ac:dyDescent="0.35">
      <c r="A48" s="1" t="str">
        <f>[1]Contratos!A48</f>
        <v>CONTRATO 47 DE 2026</v>
      </c>
      <c r="B48" s="10" t="str">
        <f>[1]Contratos!B48</f>
        <v>MARCELLO CORREA</v>
      </c>
      <c r="C48" s="10" t="str">
        <f>[1]Contratos!E48</f>
        <v>Prestación de servicios profesionales o Apoyo a la gestión</v>
      </c>
      <c r="D48" s="10" t="s">
        <v>149</v>
      </c>
      <c r="E48" s="11" t="str">
        <f>[1]Contratos!F48</f>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
      <c r="F48" s="12">
        <v>40000000</v>
      </c>
      <c r="G48" s="13">
        <f>[1]Contratos!G48</f>
        <v>40000000</v>
      </c>
      <c r="H48" s="14" t="str">
        <f>IFERROR(VLOOKUP(A48, [1]Otrosí!A:F, 6, FALSE), "0")</f>
        <v>0</v>
      </c>
      <c r="I48" s="13">
        <f t="shared" si="0"/>
        <v>40000000</v>
      </c>
      <c r="J48" s="15">
        <v>24000000</v>
      </c>
      <c r="K48" s="13">
        <f t="shared" si="1"/>
        <v>16000000</v>
      </c>
      <c r="L48" s="16">
        <f t="shared" si="2"/>
        <v>0.6</v>
      </c>
      <c r="M48" s="17">
        <f>[1]Contratos!O48</f>
        <v>46042</v>
      </c>
      <c r="N48" s="17">
        <f>[1]Contratos!P48</f>
        <v>46048</v>
      </c>
      <c r="O48" s="17">
        <f>[1]Contratos!Q48</f>
        <v>46351</v>
      </c>
      <c r="P48" s="17" t="str">
        <f>IFERROR(VLOOKUP(A48, [1]Otrosí!A:L, 7, FALSE), "N/A")</f>
        <v>N/A</v>
      </c>
      <c r="Q48" s="18" t="s">
        <v>33</v>
      </c>
      <c r="R48" s="19" t="s">
        <v>34</v>
      </c>
      <c r="S48" s="20" t="s">
        <v>150</v>
      </c>
      <c r="T48" s="21" t="s">
        <v>36</v>
      </c>
      <c r="U48" s="10" t="str">
        <f>[1]Contratos!C48</f>
        <v>PN</v>
      </c>
      <c r="V48" s="10" t="str">
        <f>[1]Contratos!I48</f>
        <v>PEDAGOGÍA REGULATORIA</v>
      </c>
      <c r="W48" s="22" t="str">
        <f>[1]Contratos!J48</f>
        <v>RICARDO RAMÍREZ</v>
      </c>
      <c r="X48" s="23" cm="1">
        <f t="array" ref="X48">IFERROR(VLOOKUP(W48,[1]COORD!$A$30:$B$66, 2, FALSE),[1]COORD!$B$30:$B$66)</f>
        <v>79444533</v>
      </c>
      <c r="Y48" s="24" t="s">
        <v>37</v>
      </c>
      <c r="Z48" s="25">
        <v>1088038389</v>
      </c>
      <c r="AA48" s="26" t="str" cm="1">
        <f t="array" ref="AA48">IF(Y48&lt;&gt;"NIT","N/A",IF(OR(Z48="",Z48="N/A"),"N/A",IF(ISERROR(VALUE(IF(ISNUMBER(FIND("-",TEXT(Z48,"@"))),LEFT(TEXT(Z48,"@"),FIND("-",TEXT(Z48,"@"))-1),TEXT(Z48,"@")))),"N/A",IF(MOD(SUMPRODUCT(VALUE(MID(TEXT(VALUE(IF(ISNUMBER(FIND("-",TEXT(Z48,"@"))),LEFT(TEXT(Z48,"@"),FIND("-",TEXT(Z48,"@"))-1),TEXT(Z48,"@"))),"000000000000000"),{15,14,13,12,11,10,9,8,7,6,5,4,3,2,1},1)),{3,7,13,17,19,23,29,37,41,43,47,53,59,67,71}),11)=0,0,IF(MOD(SUMPRODUCT(VALUE(MID(TEXT(VALUE(IF(ISNUMBER(FIND("-",TEXT(Z48,"@"))),LEFT(TEXT(Z48,"@"),FIND("-",TEXT(Z48,"@"))-1),TEXT(Z48,"@"))),"000000000000000"),{15,14,13,12,11,10,9,8,7,6,5,4,3,2,1},1)),{3,7,13,17,19,23,29,37,41,43,47,53,59,67,71}),11)=1,1,11-MOD(SUMPRODUCT(VALUE(MID(TEXT(VALUE(IF(ISNUMBER(FIND("-",TEXT(Z48,"@"))),LEFT(TEXT(Z48,"@"),FIND("-",TEXT(Z48,"@"))-1),TEXT(Z48,"@"))),"000000000000000"),{15,14,13,12,11,10,9,8,7,6,5,4,3,2,1},1)),{3,7,13,17,19,23,29,37,41,43,47,53,59,67,71}),11))))))</f>
        <v>N/A</v>
      </c>
      <c r="AB48" s="26">
        <v>81111806</v>
      </c>
      <c r="AC48" s="29">
        <f t="shared" si="3"/>
        <v>309</v>
      </c>
      <c r="AD48" s="19">
        <v>7126</v>
      </c>
      <c r="AE48" s="19">
        <v>7226</v>
      </c>
      <c r="AF48" s="19" t="s">
        <v>39</v>
      </c>
    </row>
    <row r="49" spans="1:32" ht="61.5" customHeight="1" x14ac:dyDescent="0.35">
      <c r="A49" s="1" t="str">
        <f>[1]Contratos!A49</f>
        <v>CONTRATO 48 DE 2026</v>
      </c>
      <c r="B49" s="10" t="str">
        <f>[1]Contratos!B49</f>
        <v>DANIEL FEDERICO CLAVIJO DUEÑAS</v>
      </c>
      <c r="C49" s="10" t="str">
        <f>[1]Contratos!E49</f>
        <v>Prestación de servicios profesionales o Apoyo a la gestión</v>
      </c>
      <c r="D49" s="10" t="s">
        <v>151</v>
      </c>
      <c r="E49" s="11" t="str">
        <f>[1]Contratos!F49</f>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
      <c r="F49" s="12">
        <v>40000000</v>
      </c>
      <c r="G49" s="13">
        <f>[1]Contratos!G49</f>
        <v>40000000</v>
      </c>
      <c r="H49" s="14" t="str">
        <f>IFERROR(VLOOKUP(A49, [1]Otrosí!A:F, 6, FALSE), "0")</f>
        <v>0</v>
      </c>
      <c r="I49" s="13">
        <f t="shared" si="0"/>
        <v>40000000</v>
      </c>
      <c r="J49" s="15">
        <v>24000000</v>
      </c>
      <c r="K49" s="13">
        <f t="shared" si="1"/>
        <v>16000000</v>
      </c>
      <c r="L49" s="16">
        <f t="shared" si="2"/>
        <v>0.6</v>
      </c>
      <c r="M49" s="17">
        <f>[1]Contratos!O49</f>
        <v>46041</v>
      </c>
      <c r="N49" s="17">
        <f>[1]Contratos!P49</f>
        <v>46048</v>
      </c>
      <c r="O49" s="17">
        <f>[1]Contratos!Q49</f>
        <v>46351</v>
      </c>
      <c r="P49" s="17" t="str">
        <f>IFERROR(VLOOKUP(A49, [1]Otrosí!A:L, 7, FALSE), "N/A")</f>
        <v>N/A</v>
      </c>
      <c r="Q49" s="18" t="s">
        <v>33</v>
      </c>
      <c r="R49" s="19" t="s">
        <v>34</v>
      </c>
      <c r="S49" s="20" t="s">
        <v>152</v>
      </c>
      <c r="T49" s="21" t="s">
        <v>36</v>
      </c>
      <c r="U49" s="10" t="str">
        <f>[1]Contratos!C49</f>
        <v>PN</v>
      </c>
      <c r="V49" s="10" t="str">
        <f>[1]Contratos!I49</f>
        <v>PEDAGOGÍA REGULATORIA</v>
      </c>
      <c r="W49" s="22" t="str">
        <f>[1]Contratos!J49</f>
        <v>RICARDO RAMÍREZ</v>
      </c>
      <c r="X49" s="23" cm="1">
        <f t="array" ref="X49">IFERROR(VLOOKUP(W49,[1]COORD!$A$30:$B$66, 2, FALSE),[1]COORD!$B$30:$B$66)</f>
        <v>79444533</v>
      </c>
      <c r="Y49" s="24" t="s">
        <v>37</v>
      </c>
      <c r="Z49" s="25">
        <v>1032499959</v>
      </c>
      <c r="AA49" s="26" t="str" cm="1">
        <f t="array" ref="AA49">IF(Y49&lt;&gt;"NIT","N/A",IF(OR(Z49="",Z49="N/A"),"N/A",IF(ISERROR(VALUE(IF(ISNUMBER(FIND("-",TEXT(Z49,"@"))),LEFT(TEXT(Z49,"@"),FIND("-",TEXT(Z49,"@"))-1),TEXT(Z49,"@")))),"N/A",IF(MOD(SUMPRODUCT(VALUE(MID(TEXT(VALUE(IF(ISNUMBER(FIND("-",TEXT(Z49,"@"))),LEFT(TEXT(Z49,"@"),FIND("-",TEXT(Z49,"@"))-1),TEXT(Z49,"@"))),"000000000000000"),{15,14,13,12,11,10,9,8,7,6,5,4,3,2,1},1)),{3,7,13,17,19,23,29,37,41,43,47,53,59,67,71}),11)=0,0,IF(MOD(SUMPRODUCT(VALUE(MID(TEXT(VALUE(IF(ISNUMBER(FIND("-",TEXT(Z49,"@"))),LEFT(TEXT(Z49,"@"),FIND("-",TEXT(Z49,"@"))-1),TEXT(Z49,"@"))),"000000000000000"),{15,14,13,12,11,10,9,8,7,6,5,4,3,2,1},1)),{3,7,13,17,19,23,29,37,41,43,47,53,59,67,71}),11)=1,1,11-MOD(SUMPRODUCT(VALUE(MID(TEXT(VALUE(IF(ISNUMBER(FIND("-",TEXT(Z49,"@"))),LEFT(TEXT(Z49,"@"),FIND("-",TEXT(Z49,"@"))-1),TEXT(Z49,"@"))),"000000000000000"),{15,14,13,12,11,10,9,8,7,6,5,4,3,2,1},1)),{3,7,13,17,19,23,29,37,41,43,47,53,59,67,71}),11))))))</f>
        <v>N/A</v>
      </c>
      <c r="AB49" s="26">
        <v>81111806</v>
      </c>
      <c r="AC49" s="29">
        <f t="shared" si="3"/>
        <v>310</v>
      </c>
      <c r="AD49" s="19">
        <v>6826</v>
      </c>
      <c r="AE49" s="19">
        <v>6726</v>
      </c>
      <c r="AF49" s="19" t="s">
        <v>39</v>
      </c>
    </row>
    <row r="50" spans="1:32" ht="61.5" customHeight="1" x14ac:dyDescent="0.35">
      <c r="A50" s="1" t="str">
        <f>[1]Contratos!A50</f>
        <v>CONTRATO 49 DE 2026</v>
      </c>
      <c r="B50" s="10" t="str">
        <f>[1]Contratos!B50</f>
        <v>DARLY DÍAZ LATORRE</v>
      </c>
      <c r="C50" s="10" t="str">
        <f>[1]Contratos!E50</f>
        <v>Prestación de servicios profesionales o Apoyo a la gestión</v>
      </c>
      <c r="D50" s="10" t="s">
        <v>153</v>
      </c>
      <c r="E50" s="11" t="str">
        <f>[1]Contratos!F50</f>
        <v>Brindar apoyo profesional para observar, analizar y evaluar contenidos audiovisuales con el fin de generar informes y reportes sobre el cumplimiento de los lineamientos legales y reglamentarios de dichos contenidos respecto del pluralismo e imparcialidad informativos, en el marco de los proyectos contemplados dentro de la Agenda Regulatoria y el Plan de Acción 2026.</v>
      </c>
      <c r="F50" s="12">
        <v>40000000</v>
      </c>
      <c r="G50" s="13">
        <f>[1]Contratos!G50</f>
        <v>40000000</v>
      </c>
      <c r="H50" s="14" t="str">
        <f>IFERROR(VLOOKUP(A50, [1]Otrosí!A:F, 6, FALSE), "0")</f>
        <v>0</v>
      </c>
      <c r="I50" s="13">
        <f t="shared" si="0"/>
        <v>40000000</v>
      </c>
      <c r="J50" s="15">
        <v>24000000</v>
      </c>
      <c r="K50" s="13">
        <f t="shared" si="1"/>
        <v>16000000</v>
      </c>
      <c r="L50" s="16">
        <f t="shared" si="2"/>
        <v>0.6</v>
      </c>
      <c r="M50" s="17">
        <f>[1]Contratos!O50</f>
        <v>46041</v>
      </c>
      <c r="N50" s="17">
        <f>[1]Contratos!P50</f>
        <v>46048</v>
      </c>
      <c r="O50" s="17">
        <f>[1]Contratos!Q50</f>
        <v>46352</v>
      </c>
      <c r="P50" s="17" t="str">
        <f>IFERROR(VLOOKUP(A50, [1]Otrosí!A:L, 7, FALSE), "N/A")</f>
        <v>N/A</v>
      </c>
      <c r="Q50" s="18" t="s">
        <v>33</v>
      </c>
      <c r="R50" s="19" t="s">
        <v>34</v>
      </c>
      <c r="S50" s="20" t="s">
        <v>154</v>
      </c>
      <c r="T50" s="21" t="s">
        <v>36</v>
      </c>
      <c r="U50" s="10" t="str">
        <f>[1]Contratos!C50</f>
        <v>PN</v>
      </c>
      <c r="V50" s="10" t="str">
        <f>[1]Contratos!I50</f>
        <v>PEDAGOGÍA REGULATORIA</v>
      </c>
      <c r="W50" s="22" t="str">
        <f>[1]Contratos!J50</f>
        <v>RICARDO RAMÍREZ</v>
      </c>
      <c r="X50" s="23" cm="1">
        <f t="array" ref="X50">IFERROR(VLOOKUP(W50,[1]COORD!$A$30:$B$66, 2, FALSE),[1]COORD!$B$30:$B$66)</f>
        <v>79444533</v>
      </c>
      <c r="Y50" s="24" t="s">
        <v>37</v>
      </c>
      <c r="Z50" s="25">
        <v>1016064963</v>
      </c>
      <c r="AA50" s="26" t="str" cm="1">
        <f t="array" ref="AA50">IF(Y50&lt;&gt;"NIT","N/A",IF(OR(Z50="",Z50="N/A"),"N/A",IF(ISERROR(VALUE(IF(ISNUMBER(FIND("-",TEXT(Z50,"@"))),LEFT(TEXT(Z50,"@"),FIND("-",TEXT(Z50,"@"))-1),TEXT(Z50,"@")))),"N/A",IF(MOD(SUMPRODUCT(VALUE(MID(TEXT(VALUE(IF(ISNUMBER(FIND("-",TEXT(Z50,"@"))),LEFT(TEXT(Z50,"@"),FIND("-",TEXT(Z50,"@"))-1),TEXT(Z50,"@"))),"000000000000000"),{15,14,13,12,11,10,9,8,7,6,5,4,3,2,1},1)),{3,7,13,17,19,23,29,37,41,43,47,53,59,67,71}),11)=0,0,IF(MOD(SUMPRODUCT(VALUE(MID(TEXT(VALUE(IF(ISNUMBER(FIND("-",TEXT(Z50,"@"))),LEFT(TEXT(Z50,"@"),FIND("-",TEXT(Z50,"@"))-1),TEXT(Z50,"@"))),"000000000000000"),{15,14,13,12,11,10,9,8,7,6,5,4,3,2,1},1)),{3,7,13,17,19,23,29,37,41,43,47,53,59,67,71}),11)=1,1,11-MOD(SUMPRODUCT(VALUE(MID(TEXT(VALUE(IF(ISNUMBER(FIND("-",TEXT(Z50,"@"))),LEFT(TEXT(Z50,"@"),FIND("-",TEXT(Z50,"@"))-1),TEXT(Z50,"@"))),"000000000000000"),{15,14,13,12,11,10,9,8,7,6,5,4,3,2,1},1)),{3,7,13,17,19,23,29,37,41,43,47,53,59,67,71}),11))))))</f>
        <v>N/A</v>
      </c>
      <c r="AB50" s="26">
        <v>81111806</v>
      </c>
      <c r="AC50" s="29">
        <f t="shared" si="3"/>
        <v>311</v>
      </c>
      <c r="AD50" s="19">
        <v>7026</v>
      </c>
      <c r="AE50" s="19">
        <v>6626</v>
      </c>
      <c r="AF50" s="19" t="s">
        <v>39</v>
      </c>
    </row>
    <row r="51" spans="1:32" ht="61.5" customHeight="1" x14ac:dyDescent="0.35">
      <c r="A51" s="1" t="str">
        <f>[1]Contratos!A51</f>
        <v>CONTRATO 50 DE 2026</v>
      </c>
      <c r="B51" s="10" t="str">
        <f>[1]Contratos!B51</f>
        <v>FABIO ARIAS</v>
      </c>
      <c r="C51" s="10" t="str">
        <f>[1]Contratos!E51</f>
        <v>Prestación de servicios profesionales o Apoyo a la gestión</v>
      </c>
      <c r="D51" s="10" t="s">
        <v>155</v>
      </c>
      <c r="E51" s="11" t="str">
        <f>[1]Contratos!F51</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relacionados con la automatización y gestión de los Datos relacionados con los servicios de telecomunicaciones, postales y de contenidos audiovisuales.</v>
      </c>
      <c r="F51" s="12">
        <v>150244670</v>
      </c>
      <c r="G51" s="13">
        <f>[1]Contratos!G51</f>
        <v>150244670</v>
      </c>
      <c r="H51" s="14" t="str">
        <f>IFERROR(VLOOKUP(A51, [1]Otrosí!A:F, 6, FALSE), "0")</f>
        <v>0</v>
      </c>
      <c r="I51" s="13">
        <f t="shared" si="0"/>
        <v>150244670</v>
      </c>
      <c r="J51" s="15">
        <v>81496355</v>
      </c>
      <c r="K51" s="13">
        <f t="shared" si="1"/>
        <v>68748315</v>
      </c>
      <c r="L51" s="16">
        <f t="shared" si="2"/>
        <v>0.54242426703057089</v>
      </c>
      <c r="M51" s="17">
        <f>[1]Contratos!O51</f>
        <v>46042</v>
      </c>
      <c r="N51" s="17">
        <f>[1]Contratos!P51</f>
        <v>46055</v>
      </c>
      <c r="O51" s="17">
        <f>[1]Contratos!Q51</f>
        <v>46387</v>
      </c>
      <c r="P51" s="17" t="str">
        <f>IFERROR(VLOOKUP(A51, [1]Otrosí!A:L, 7, FALSE), "N/A")</f>
        <v>N/A</v>
      </c>
      <c r="Q51" s="18" t="s">
        <v>33</v>
      </c>
      <c r="R51" s="19" t="s">
        <v>34</v>
      </c>
      <c r="S51" s="20" t="s">
        <v>156</v>
      </c>
      <c r="T51" s="21" t="s">
        <v>36</v>
      </c>
      <c r="U51" s="10" t="str">
        <f>[1]Contratos!C51</f>
        <v>PN</v>
      </c>
      <c r="V51" s="10" t="str">
        <f>[1]Contratos!I51</f>
        <v>TECNOLOGÍAS Y SIST. DE INF.</v>
      </c>
      <c r="W51" s="22" t="str">
        <f>[1]Contratos!J51</f>
        <v>INGRID PICÓN</v>
      </c>
      <c r="X51" s="23" cm="1">
        <f t="array" ref="X51">IFERROR(VLOOKUP(W51,[1]COORD!$A$30:$B$66, 2, FALSE),[1]COORD!$B$30:$B$66)</f>
        <v>60372503</v>
      </c>
      <c r="Y51" s="24" t="s">
        <v>37</v>
      </c>
      <c r="Z51" s="25">
        <v>88249423</v>
      </c>
      <c r="AA51" s="26" t="str" cm="1">
        <f t="array" ref="AA51">IF(Y51&lt;&gt;"NIT","N/A",IF(OR(Z51="",Z51="N/A"),"N/A",IF(ISERROR(VALUE(IF(ISNUMBER(FIND("-",TEXT(Z51,"@"))),LEFT(TEXT(Z51,"@"),FIND("-",TEXT(Z51,"@"))-1),TEXT(Z51,"@")))),"N/A",IF(MOD(SUMPRODUCT(VALUE(MID(TEXT(VALUE(IF(ISNUMBER(FIND("-",TEXT(Z51,"@"))),LEFT(TEXT(Z51,"@"),FIND("-",TEXT(Z51,"@"))-1),TEXT(Z51,"@"))),"000000000000000"),{15,14,13,12,11,10,9,8,7,6,5,4,3,2,1},1)),{3,7,13,17,19,23,29,37,41,43,47,53,59,67,71}),11)=0,0,IF(MOD(SUMPRODUCT(VALUE(MID(TEXT(VALUE(IF(ISNUMBER(FIND("-",TEXT(Z51,"@"))),LEFT(TEXT(Z51,"@"),FIND("-",TEXT(Z51,"@"))-1),TEXT(Z51,"@"))),"000000000000000"),{15,14,13,12,11,10,9,8,7,6,5,4,3,2,1},1)),{3,7,13,17,19,23,29,37,41,43,47,53,59,67,71}),11)=1,1,11-MOD(SUMPRODUCT(VALUE(MID(TEXT(VALUE(IF(ISNUMBER(FIND("-",TEXT(Z51,"@"))),LEFT(TEXT(Z51,"@"),FIND("-",TEXT(Z51,"@"))-1),TEXT(Z51,"@"))),"000000000000000"),{15,14,13,12,11,10,9,8,7,6,5,4,3,2,1},1)),{3,7,13,17,19,23,29,37,41,43,47,53,59,67,71}),11))))))</f>
        <v>N/A</v>
      </c>
      <c r="AB51" s="26">
        <v>81111507</v>
      </c>
      <c r="AC51" s="29">
        <f t="shared" si="3"/>
        <v>345</v>
      </c>
      <c r="AD51" s="19">
        <v>7626</v>
      </c>
      <c r="AE51" s="19">
        <v>8126</v>
      </c>
      <c r="AF51" s="19" t="s">
        <v>39</v>
      </c>
    </row>
    <row r="52" spans="1:32" ht="61.5" customHeight="1" x14ac:dyDescent="0.35">
      <c r="A52" s="1" t="str">
        <f>[1]Contratos!A52</f>
        <v>CONTRATO 51 DE 2026</v>
      </c>
      <c r="B52" s="10" t="str">
        <f>[1]Contratos!B52</f>
        <v>VICTORIA CLAVIJO</v>
      </c>
      <c r="C52" s="10" t="str">
        <f>[1]Contratos!E52</f>
        <v>Prestación de servicios profesionales o Apoyo a la gestión</v>
      </c>
      <c r="D52" s="10" t="s">
        <v>157</v>
      </c>
      <c r="E52" s="11" t="str">
        <f>[1]Contratos!F52</f>
        <v>Prestar los servicios profesionales especializados como Ingeniero Senior, brindando el apoyo en la gestión y acompañamiento técnico para la planeación, estimación, diseño, desarrollo, despliegue y gestión de acuerdo con el ciclo de vida del desarrollo de software establecido por la entidad, para los proyectos tecnológicos y sistemas de información que hacen parte del Plan Estratégico de Tecnologías e Información (PETI) 2026 relacionados con la automatización y gestión de los Datos relacionados con los servicios de telecomunicaciones, postales y de contenidos audiovisuales.</v>
      </c>
      <c r="F52" s="12">
        <v>150244670</v>
      </c>
      <c r="G52" s="13">
        <f>[1]Contratos!G52</f>
        <v>150244670</v>
      </c>
      <c r="H52" s="14" t="str">
        <f>IFERROR(VLOOKUP(A52, [1]Otrosí!A:F, 6, FALSE), "0")</f>
        <v>0</v>
      </c>
      <c r="I52" s="13">
        <f t="shared" si="0"/>
        <v>150244670</v>
      </c>
      <c r="J52" s="15">
        <v>81496359</v>
      </c>
      <c r="K52" s="13">
        <f t="shared" si="1"/>
        <v>68748311</v>
      </c>
      <c r="L52" s="16">
        <f t="shared" si="2"/>
        <v>0.54242429365381151</v>
      </c>
      <c r="M52" s="17">
        <f>[1]Contratos!O52</f>
        <v>46043</v>
      </c>
      <c r="N52" s="17">
        <f>[1]Contratos!P52</f>
        <v>46055</v>
      </c>
      <c r="O52" s="17">
        <f>[1]Contratos!Q52</f>
        <v>46387</v>
      </c>
      <c r="P52" s="17" t="str">
        <f>IFERROR(VLOOKUP(A52, [1]Otrosí!A:L, 7, FALSE), "N/A")</f>
        <v>N/A</v>
      </c>
      <c r="Q52" s="18" t="s">
        <v>33</v>
      </c>
      <c r="R52" s="19" t="s">
        <v>34</v>
      </c>
      <c r="S52" s="20" t="s">
        <v>158</v>
      </c>
      <c r="T52" s="21" t="s">
        <v>36</v>
      </c>
      <c r="U52" s="10" t="str">
        <f>[1]Contratos!C52</f>
        <v>PN</v>
      </c>
      <c r="V52" s="10" t="str">
        <f>[1]Contratos!I52</f>
        <v>TECNOLOGÍAS Y SIST. DE INF.</v>
      </c>
      <c r="W52" s="22" t="str">
        <f>[1]Contratos!J52</f>
        <v>INGRID PICÓN</v>
      </c>
      <c r="X52" s="23" cm="1">
        <f t="array" ref="X52">IFERROR(VLOOKUP(W52,[1]COORD!$A$30:$B$66, 2, FALSE),[1]COORD!$B$30:$B$66)</f>
        <v>60372503</v>
      </c>
      <c r="Y52" s="24" t="s">
        <v>37</v>
      </c>
      <c r="Z52" s="25">
        <v>52902964</v>
      </c>
      <c r="AA52" s="26" t="str" cm="1">
        <f t="array" ref="AA52">IF(Y52&lt;&gt;"NIT","N/A",IF(OR(Z52="",Z52="N/A"),"N/A",IF(ISERROR(VALUE(IF(ISNUMBER(FIND("-",TEXT(Z52,"@"))),LEFT(TEXT(Z52,"@"),FIND("-",TEXT(Z52,"@"))-1),TEXT(Z52,"@")))),"N/A",IF(MOD(SUMPRODUCT(VALUE(MID(TEXT(VALUE(IF(ISNUMBER(FIND("-",TEXT(Z52,"@"))),LEFT(TEXT(Z52,"@"),FIND("-",TEXT(Z52,"@"))-1),TEXT(Z52,"@"))),"000000000000000"),{15,14,13,12,11,10,9,8,7,6,5,4,3,2,1},1)),{3,7,13,17,19,23,29,37,41,43,47,53,59,67,71}),11)=0,0,IF(MOD(SUMPRODUCT(VALUE(MID(TEXT(VALUE(IF(ISNUMBER(FIND("-",TEXT(Z52,"@"))),LEFT(TEXT(Z52,"@"),FIND("-",TEXT(Z52,"@"))-1),TEXT(Z52,"@"))),"000000000000000"),{15,14,13,12,11,10,9,8,7,6,5,4,3,2,1},1)),{3,7,13,17,19,23,29,37,41,43,47,53,59,67,71}),11)=1,1,11-MOD(SUMPRODUCT(VALUE(MID(TEXT(VALUE(IF(ISNUMBER(FIND("-",TEXT(Z52,"@"))),LEFT(TEXT(Z52,"@"),FIND("-",TEXT(Z52,"@"))-1),TEXT(Z52,"@"))),"000000000000000"),{15,14,13,12,11,10,9,8,7,6,5,4,3,2,1},1)),{3,7,13,17,19,23,29,37,41,43,47,53,59,67,71}),11))))))</f>
        <v>N/A</v>
      </c>
      <c r="AB52" s="26">
        <v>81111504</v>
      </c>
      <c r="AC52" s="29">
        <f t="shared" si="3"/>
        <v>344</v>
      </c>
      <c r="AD52" s="19">
        <v>6726</v>
      </c>
      <c r="AE52" s="19">
        <v>7726</v>
      </c>
      <c r="AF52" s="19" t="s">
        <v>39</v>
      </c>
    </row>
    <row r="53" spans="1:32" ht="140.5" customHeight="1" x14ac:dyDescent="0.35">
      <c r="A53" s="1" t="str">
        <f>[1]Contratos!A53</f>
        <v>CONTRATO 52 DE 2026</v>
      </c>
      <c r="B53" s="10" t="str">
        <f>[1]Contratos!B53</f>
        <v>CATALINA BOTERO</v>
      </c>
      <c r="C53" s="10" t="str">
        <f>[1]Contratos!E53</f>
        <v>Prestación de servicios profesionales o Apoyo a la gestión</v>
      </c>
      <c r="D53" s="10" t="s">
        <v>159</v>
      </c>
      <c r="E53" s="11" t="str">
        <f>[1]Contratos!F53</f>
        <v> Contratar servicios profesionales altamente especializados en el ámbito del derecho constitucional, orientados a la prestación de apoyo jurídico estratégico a la Comisión de Regulación de Comunicaciones – CRC en la atención, análisis y gestión de asuntos jurídicos de alta complejidad en materia de derecho constitucional, en particular los relacionados con las competencias de la CRC en materia de pluralismo e imparcialidad informativos y la protección de derechos de niños, niñas y adolescentes en los contenidos. El servicio comprenderá la elaboración de análisis jurídicos, el acompañamiento técnico-jurídico en los procesos regulatorios requeridos y la asesoría en actuaciones administrativas que adelante la Entidad en las materias objeto del contrato, de conformidad con sus competencias y necesidades institucionales.</v>
      </c>
      <c r="F53" s="12">
        <v>120000000</v>
      </c>
      <c r="G53" s="13">
        <f>[1]Contratos!G53</f>
        <v>120000000</v>
      </c>
      <c r="H53" s="14" t="str">
        <f>IFERROR(VLOOKUP(A53, [1]Otrosí!A:F, 6, FALSE), "0")</f>
        <v>0</v>
      </c>
      <c r="I53" s="13">
        <f t="shared" si="0"/>
        <v>120000000</v>
      </c>
      <c r="J53" s="15">
        <v>28800000</v>
      </c>
      <c r="K53" s="13">
        <f t="shared" si="1"/>
        <v>91200000</v>
      </c>
      <c r="L53" s="16">
        <f t="shared" si="2"/>
        <v>0.24</v>
      </c>
      <c r="M53" s="17">
        <f>[1]Contratos!O53</f>
        <v>46043</v>
      </c>
      <c r="N53" s="17">
        <f>[1]Contratos!P53</f>
        <v>46048</v>
      </c>
      <c r="O53" s="17">
        <f>[1]Contratos!Q53</f>
        <v>46387</v>
      </c>
      <c r="P53" s="17" t="str">
        <f>IFERROR(VLOOKUP(A53, [1]Otrosí!A:L, 7, FALSE), "N/A")</f>
        <v>N/A</v>
      </c>
      <c r="Q53" s="18" t="s">
        <v>33</v>
      </c>
      <c r="R53" s="19" t="s">
        <v>34</v>
      </c>
      <c r="S53" s="20" t="s">
        <v>160</v>
      </c>
      <c r="T53" s="21" t="s">
        <v>36</v>
      </c>
      <c r="U53" s="10" t="str">
        <f>[1]Contratos!C53</f>
        <v>PN</v>
      </c>
      <c r="V53" s="10" t="str">
        <f>[1]Contratos!I53</f>
        <v>GESTIÓN JURÍDICA / PEDAGOGÍA REGULATORIA</v>
      </c>
      <c r="W53" s="22" t="str">
        <f>[1]Contratos!J53</f>
        <v>VICTOR SANDOVAL /RICARDO RAMÍREZ</v>
      </c>
      <c r="X53" s="23" t="str" cm="1">
        <f t="array" ref="X53">IFERROR(VLOOKUP(W53,[1]COORD!$A$30:$B$66, 2, FALSE),[1]COORD!$B$30:$B$66)</f>
        <v>1026264211 / 79444533</v>
      </c>
      <c r="Y53" s="24" t="s">
        <v>37</v>
      </c>
      <c r="Z53" s="25">
        <v>39693109</v>
      </c>
      <c r="AA53" s="26" t="str" cm="1">
        <f t="array" ref="AA53">IF(Y53&lt;&gt;"NIT","N/A",IF(OR(Z53="",Z53="N/A"),"N/A",IF(ISERROR(VALUE(IF(ISNUMBER(FIND("-",TEXT(Z53,"@"))),LEFT(TEXT(Z53,"@"),FIND("-",TEXT(Z53,"@"))-1),TEXT(Z53,"@")))),"N/A",IF(MOD(SUMPRODUCT(VALUE(MID(TEXT(VALUE(IF(ISNUMBER(FIND("-",TEXT(Z53,"@"))),LEFT(TEXT(Z53,"@"),FIND("-",TEXT(Z53,"@"))-1),TEXT(Z53,"@"))),"000000000000000"),{15,14,13,12,11,10,9,8,7,6,5,4,3,2,1},1)),{3,7,13,17,19,23,29,37,41,43,47,53,59,67,71}),11)=0,0,IF(MOD(SUMPRODUCT(VALUE(MID(TEXT(VALUE(IF(ISNUMBER(FIND("-",TEXT(Z53,"@"))),LEFT(TEXT(Z53,"@"),FIND("-",TEXT(Z53,"@"))-1),TEXT(Z53,"@"))),"000000000000000"),{15,14,13,12,11,10,9,8,7,6,5,4,3,2,1},1)),{3,7,13,17,19,23,29,37,41,43,47,53,59,67,71}),11)=1,1,11-MOD(SUMPRODUCT(VALUE(MID(TEXT(VALUE(IF(ISNUMBER(FIND("-",TEXT(Z53,"@"))),LEFT(TEXT(Z53,"@"),FIND("-",TEXT(Z53,"@"))-1),TEXT(Z53,"@"))),"000000000000000"),{15,14,13,12,11,10,9,8,7,6,5,4,3,2,1},1)),{3,7,13,17,19,23,29,37,41,43,47,53,59,67,71}),11))))))</f>
        <v>N/A</v>
      </c>
      <c r="AB53" s="26">
        <v>80121601</v>
      </c>
      <c r="AC53" s="29">
        <f t="shared" si="3"/>
        <v>344</v>
      </c>
      <c r="AD53" s="19">
        <v>7326</v>
      </c>
      <c r="AE53" s="19">
        <v>7626</v>
      </c>
      <c r="AF53" s="19" t="s">
        <v>39</v>
      </c>
    </row>
    <row r="54" spans="1:32" ht="61.5" customHeight="1" x14ac:dyDescent="0.35">
      <c r="A54" s="1" t="str">
        <f>[1]Contratos!A54</f>
        <v>CONTRATO 53 DE 2026</v>
      </c>
      <c r="B54" s="10" t="str">
        <f>[1]Contratos!B54</f>
        <v>HANSON GARZÓN</v>
      </c>
      <c r="C54" s="10" t="str">
        <f>[1]Contratos!E54</f>
        <v>Prestación de servicios profesionales o Apoyo a la gestión</v>
      </c>
      <c r="D54" s="10" t="s">
        <v>161</v>
      </c>
      <c r="E54" s="11" t="str">
        <f>[1]Contratos!F54</f>
        <v xml:space="preserve">Prestar los servicios profesionales especializados como Ingeniero, brindando el apoyo en la gestión y acompañamiento técnico para la ejecución de las actividades relacionadas con el análisis de requerimientos, aseguramiento de la calidad de software y gestión de pruebas especializadas tanto funcionales y no funcionales de los proyectos de desarrollo tecnológico que hacen parte del Plan Estratégico de Tecnología (PETI) 2026 relacionados con la automatización y gestión de los Datos relacionados con los servicios de telecomunicaciones, postales y de contenidos audiovisuales.
</v>
      </c>
      <c r="F54" s="12">
        <v>99000000</v>
      </c>
      <c r="G54" s="13">
        <f>[1]Contratos!G54</f>
        <v>99000000</v>
      </c>
      <c r="H54" s="14" t="str">
        <f>IFERROR(VLOOKUP(A54, [1]Otrosí!A:F, 6, FALSE), "0")</f>
        <v>0</v>
      </c>
      <c r="I54" s="13">
        <f t="shared" si="0"/>
        <v>99000000</v>
      </c>
      <c r="J54" s="15">
        <v>53700000</v>
      </c>
      <c r="K54" s="13">
        <f t="shared" si="1"/>
        <v>45300000</v>
      </c>
      <c r="L54" s="16">
        <f t="shared" si="2"/>
        <v>0.54242424242424248</v>
      </c>
      <c r="M54" s="17">
        <f>[1]Contratos!O54</f>
        <v>46042</v>
      </c>
      <c r="N54" s="17">
        <f>[1]Contratos!P54</f>
        <v>46055</v>
      </c>
      <c r="O54" s="17">
        <f>[1]Contratos!Q54</f>
        <v>46387</v>
      </c>
      <c r="P54" s="17" t="str">
        <f>IFERROR(VLOOKUP(A54, [1]Otrosí!A:L, 7, FALSE), "N/A")</f>
        <v>N/A</v>
      </c>
      <c r="Q54" s="18" t="s">
        <v>33</v>
      </c>
      <c r="R54" s="19" t="s">
        <v>34</v>
      </c>
      <c r="S54" s="20" t="s">
        <v>162</v>
      </c>
      <c r="T54" s="21" t="s">
        <v>36</v>
      </c>
      <c r="U54" s="10" t="str">
        <f>[1]Contratos!C54</f>
        <v>PN</v>
      </c>
      <c r="V54" s="10" t="str">
        <f>[1]Contratos!I54</f>
        <v>TECNOLOGÍAS Y SIST. DE INF.</v>
      </c>
      <c r="W54" s="22" t="str">
        <f>[1]Contratos!J54</f>
        <v>INGRID PICÓN</v>
      </c>
      <c r="X54" s="23" cm="1">
        <f t="array" ref="X54">IFERROR(VLOOKUP(W54,[1]COORD!$A$30:$B$66, 2, FALSE),[1]COORD!$B$30:$B$66)</f>
        <v>60372503</v>
      </c>
      <c r="Y54" s="24" t="s">
        <v>37</v>
      </c>
      <c r="Z54" s="25">
        <v>1030570790</v>
      </c>
      <c r="AA54" s="26" t="str" cm="1">
        <f t="array" ref="AA54">IF(Y54&lt;&gt;"NIT","N/A",IF(OR(Z54="",Z54="N/A"),"N/A",IF(ISERROR(VALUE(IF(ISNUMBER(FIND("-",TEXT(Z54,"@"))),LEFT(TEXT(Z54,"@"),FIND("-",TEXT(Z54,"@"))-1),TEXT(Z54,"@")))),"N/A",IF(MOD(SUMPRODUCT(VALUE(MID(TEXT(VALUE(IF(ISNUMBER(FIND("-",TEXT(Z54,"@"))),LEFT(TEXT(Z54,"@"),FIND("-",TEXT(Z54,"@"))-1),TEXT(Z54,"@"))),"000000000000000"),{15,14,13,12,11,10,9,8,7,6,5,4,3,2,1},1)),{3,7,13,17,19,23,29,37,41,43,47,53,59,67,71}),11)=0,0,IF(MOD(SUMPRODUCT(VALUE(MID(TEXT(VALUE(IF(ISNUMBER(FIND("-",TEXT(Z54,"@"))),LEFT(TEXT(Z54,"@"),FIND("-",TEXT(Z54,"@"))-1),TEXT(Z54,"@"))),"000000000000000"),{15,14,13,12,11,10,9,8,7,6,5,4,3,2,1},1)),{3,7,13,17,19,23,29,37,41,43,47,53,59,67,71}),11)=1,1,11-MOD(SUMPRODUCT(VALUE(MID(TEXT(VALUE(IF(ISNUMBER(FIND("-",TEXT(Z54,"@"))),LEFT(TEXT(Z54,"@"),FIND("-",TEXT(Z54,"@"))-1),TEXT(Z54,"@"))),"000000000000000"),{15,14,13,12,11,10,9,8,7,6,5,4,3,2,1},1)),{3,7,13,17,19,23,29,37,41,43,47,53,59,67,71}),11))))))</f>
        <v>N/A</v>
      </c>
      <c r="AB54" s="26">
        <v>81111504</v>
      </c>
      <c r="AC54" s="29">
        <f t="shared" si="3"/>
        <v>345</v>
      </c>
      <c r="AD54" s="19">
        <v>7426</v>
      </c>
      <c r="AE54" s="19">
        <v>7126</v>
      </c>
      <c r="AF54" s="19" t="s">
        <v>39</v>
      </c>
    </row>
    <row r="55" spans="1:32" ht="61.5" customHeight="1" x14ac:dyDescent="0.35">
      <c r="A55" s="1" t="str">
        <f>[1]Contratos!A55</f>
        <v>CONTRATO 54 DE 2026</v>
      </c>
      <c r="B55" s="10" t="str">
        <f>[1]Contratos!B55</f>
        <v>ADRIANA CAROLINA SANTISTEBAN GALAN</v>
      </c>
      <c r="C55" s="10" t="str">
        <f>[1]Contratos!E55</f>
        <v>Prestación de servicios profesionales o Apoyo a la gestión</v>
      </c>
      <c r="D55" s="10" t="s">
        <v>163</v>
      </c>
      <c r="E55" s="11" t="str">
        <f>[1]Contratos!F55</f>
        <v>Prestación de servicios profesionales para brindar apoyo jurídico especializado a la CRC en el desarrollo de sus actividades misionales, orientado principalmente al análisis, sustanciación y trámite de actuaciones administrativas, en especial en materia de solución de controversias, imposición de servidumbres de acceso, uso e interconexión y actuaciones en contenidos audiovisuales, actuaciones de inspección, vigilancia y control en materia de contenidos audiovisuales, así como al acompañamiento jurídico en proyectos regulatorios que adelante la entidad en el marco de la Agenda Regulatoria 2026-2027 y el Plan de Acción Institucional, y a la elaboración de respuestas a solicitudes y conceptos jurídicos especializados, en apoyo a los Grupos Internos de Trabajo de Gestión Jurídica, Gestión Audiovisual y Pedagogía Regulatoria y Diseño Regulatorio.</v>
      </c>
      <c r="F55" s="12">
        <v>195500000</v>
      </c>
      <c r="G55" s="13">
        <f>[1]Contratos!G55</f>
        <v>195500000</v>
      </c>
      <c r="H55" s="14" t="str">
        <f>IFERROR(VLOOKUP(A55, [1]Otrosí!A:F, 6, FALSE), "0")</f>
        <v>0</v>
      </c>
      <c r="I55" s="13">
        <f t="shared" si="0"/>
        <v>195500000</v>
      </c>
      <c r="J55" s="15">
        <v>90666666</v>
      </c>
      <c r="K55" s="13">
        <f t="shared" si="1"/>
        <v>104833334</v>
      </c>
      <c r="L55" s="16">
        <f t="shared" si="2"/>
        <v>0.46376811253196931</v>
      </c>
      <c r="M55" s="17">
        <f>[1]Contratos!O55</f>
        <v>46042</v>
      </c>
      <c r="N55" s="17">
        <f>[1]Contratos!P55</f>
        <v>46043</v>
      </c>
      <c r="O55" s="17">
        <f>[1]Contratos!Q55</f>
        <v>46387</v>
      </c>
      <c r="P55" s="17" t="str">
        <f>IFERROR(VLOOKUP(A55, [1]Otrosí!A:L, 7, FALSE), "N/A")</f>
        <v>N/A</v>
      </c>
      <c r="Q55" s="18" t="s">
        <v>33</v>
      </c>
      <c r="R55" s="19" t="s">
        <v>34</v>
      </c>
      <c r="S55" s="20" t="s">
        <v>164</v>
      </c>
      <c r="T55" s="21" t="s">
        <v>36</v>
      </c>
      <c r="U55" s="10" t="str">
        <f>[1]Contratos!C55</f>
        <v>PN</v>
      </c>
      <c r="V55" s="10" t="str">
        <f>[1]Contratos!I55</f>
        <v>GESTIÓN JURÍDICA</v>
      </c>
      <c r="W55" s="22" t="str">
        <f>[1]Contratos!J55</f>
        <v>VICTOR SANDOVAL</v>
      </c>
      <c r="X55" s="23" cm="1">
        <f t="array" ref="X55">IFERROR(VLOOKUP(W55,[1]COORD!$A$30:$B$66, 2, FALSE),[1]COORD!$B$30:$B$66)</f>
        <v>1026264211</v>
      </c>
      <c r="Y55" s="24" t="s">
        <v>37</v>
      </c>
      <c r="Z55" s="25">
        <v>1018431477</v>
      </c>
      <c r="AA55" s="26" t="str" cm="1">
        <f t="array" ref="AA55">IF(Y55&lt;&gt;"NIT","N/A",IF(OR(Z55="",Z55="N/A"),"N/A",IF(ISERROR(VALUE(IF(ISNUMBER(FIND("-",TEXT(Z55,"@"))),LEFT(TEXT(Z55,"@"),FIND("-",TEXT(Z55,"@"))-1),TEXT(Z55,"@")))),"N/A",IF(MOD(SUMPRODUCT(VALUE(MID(TEXT(VALUE(IF(ISNUMBER(FIND("-",TEXT(Z55,"@"))),LEFT(TEXT(Z55,"@"),FIND("-",TEXT(Z55,"@"))-1),TEXT(Z55,"@"))),"000000000000000"),{15,14,13,12,11,10,9,8,7,6,5,4,3,2,1},1)),{3,7,13,17,19,23,29,37,41,43,47,53,59,67,71}),11)=0,0,IF(MOD(SUMPRODUCT(VALUE(MID(TEXT(VALUE(IF(ISNUMBER(FIND("-",TEXT(Z55,"@"))),LEFT(TEXT(Z55,"@"),FIND("-",TEXT(Z55,"@"))-1),TEXT(Z55,"@"))),"000000000000000"),{15,14,13,12,11,10,9,8,7,6,5,4,3,2,1},1)),{3,7,13,17,19,23,29,37,41,43,47,53,59,67,71}),11)=1,1,11-MOD(SUMPRODUCT(VALUE(MID(TEXT(VALUE(IF(ISNUMBER(FIND("-",TEXT(Z55,"@"))),LEFT(TEXT(Z55,"@"),FIND("-",TEXT(Z55,"@"))-1),TEXT(Z55,"@"))),"000000000000000"),{15,14,13,12,11,10,9,8,7,6,5,4,3,2,1},1)),{3,7,13,17,19,23,29,37,41,43,47,53,59,67,71}),11))))))</f>
        <v>N/A</v>
      </c>
      <c r="AB55" s="26">
        <v>80121601</v>
      </c>
      <c r="AC55" s="29">
        <f t="shared" si="3"/>
        <v>345</v>
      </c>
      <c r="AD55" s="19">
        <v>7226</v>
      </c>
      <c r="AE55" s="19">
        <v>7026</v>
      </c>
      <c r="AF55" s="19" t="s">
        <v>39</v>
      </c>
    </row>
    <row r="56" spans="1:32" ht="77.5" customHeight="1" x14ac:dyDescent="0.35">
      <c r="A56" s="1" t="str">
        <f>[1]Contratos!A56</f>
        <v>CONTRATO 55 DE 2026</v>
      </c>
      <c r="B56" s="10" t="str">
        <f>[1]Contratos!B56</f>
        <v xml:space="preserve">JUAN JOSE GALEANO HERMOSA </v>
      </c>
      <c r="C56" s="10" t="str">
        <f>[1]Contratos!E56</f>
        <v>Prestación de servicios profesionales o Apoyo a la gestión</v>
      </c>
      <c r="D56" s="10" t="s">
        <v>165</v>
      </c>
      <c r="E56" s="11" t="str">
        <f>[1]Contratos!F56</f>
        <v>Prestación de servicios profesionales en materia de análisis de datos, para apoyar en el desarrollo de las actividades de las Coordinaciones de Analítica de Datos y Prospectiva Estratégica e Innovación, relacionadas con la extracción, transformación, procesamiento y visualización de datos, así como la elaboración de estudios sectoriales para fortalecer el conocimiento del ecosistema digital, de acuerdo con lo previsto en la Agenda Regulatoria 2026-2027 y Plan de Acción de la CRC para el año 2026.</v>
      </c>
      <c r="F56" s="12">
        <v>137500000</v>
      </c>
      <c r="G56" s="13">
        <f>[1]Contratos!G56</f>
        <v>137500000</v>
      </c>
      <c r="H56" s="14" t="str">
        <f>IFERROR(VLOOKUP(A56, [1]Otrosí!A:F, 6, FALSE), "0")</f>
        <v>0</v>
      </c>
      <c r="I56" s="13">
        <f t="shared" si="0"/>
        <v>137500000</v>
      </c>
      <c r="J56" s="15">
        <v>49583333</v>
      </c>
      <c r="K56" s="13">
        <f t="shared" si="1"/>
        <v>87916667</v>
      </c>
      <c r="L56" s="16">
        <f t="shared" si="2"/>
        <v>0.36060605818181818</v>
      </c>
      <c r="M56" s="17">
        <f>[1]Contratos!O56</f>
        <v>46049</v>
      </c>
      <c r="N56" s="17">
        <f>[1]Contratos!P56</f>
        <v>46055</v>
      </c>
      <c r="O56" s="17">
        <f>[1]Contratos!Q56</f>
        <v>46387</v>
      </c>
      <c r="P56" s="17" t="str">
        <f>IFERROR(VLOOKUP(A56, [1]Otrosí!A:L, 7, FALSE), "N/A")</f>
        <v>N/A</v>
      </c>
      <c r="Q56" s="18" t="s">
        <v>33</v>
      </c>
      <c r="R56" s="19" t="s">
        <v>34</v>
      </c>
      <c r="S56" s="20" t="s">
        <v>166</v>
      </c>
      <c r="T56" s="21" t="s">
        <v>36</v>
      </c>
      <c r="U56" s="10" t="str">
        <f>[1]Contratos!C56</f>
        <v>PN</v>
      </c>
      <c r="V56" s="10" t="str">
        <f>[1]Contratos!I56</f>
        <v>ANALÍTICA DE DATOS / INNOVACIÓN Y PROSPECTIVA</v>
      </c>
      <c r="W56" s="22" t="str">
        <f>[1]Contratos!J56</f>
        <v>VICTOR BALDRICH / MIGUEL DURÁN</v>
      </c>
      <c r="X56" s="23" t="str" cm="1">
        <f t="array" ref="X56">IFERROR(VLOOKUP(W56,[1]COORD!$A$30:$B$66, 2, FALSE),[1]COORD!$B$30:$B$66)</f>
        <v>1019105701 / 92541020</v>
      </c>
      <c r="Y56" s="24" t="s">
        <v>37</v>
      </c>
      <c r="Z56" s="25">
        <v>1010234849</v>
      </c>
      <c r="AA56" s="26" t="str" cm="1">
        <f t="array" ref="AA56">IF(Y56&lt;&gt;"NIT","N/A",IF(OR(Z56="",Z56="N/A"),"N/A",IF(ISERROR(VALUE(IF(ISNUMBER(FIND("-",TEXT(Z56,"@"))),LEFT(TEXT(Z56,"@"),FIND("-",TEXT(Z56,"@"))-1),TEXT(Z56,"@")))),"N/A",IF(MOD(SUMPRODUCT(VALUE(MID(TEXT(VALUE(IF(ISNUMBER(FIND("-",TEXT(Z56,"@"))),LEFT(TEXT(Z56,"@"),FIND("-",TEXT(Z56,"@"))-1),TEXT(Z56,"@"))),"000000000000000"),{15,14,13,12,11,10,9,8,7,6,5,4,3,2,1},1)),{3,7,13,17,19,23,29,37,41,43,47,53,59,67,71}),11)=0,0,IF(MOD(SUMPRODUCT(VALUE(MID(TEXT(VALUE(IF(ISNUMBER(FIND("-",TEXT(Z56,"@"))),LEFT(TEXT(Z56,"@"),FIND("-",TEXT(Z56,"@"))-1),TEXT(Z56,"@"))),"000000000000000"),{15,14,13,12,11,10,9,8,7,6,5,4,3,2,1},1)),{3,7,13,17,19,23,29,37,41,43,47,53,59,67,71}),11)=1,1,11-MOD(SUMPRODUCT(VALUE(MID(TEXT(VALUE(IF(ISNUMBER(FIND("-",TEXT(Z56,"@"))),LEFT(TEXT(Z56,"@"),FIND("-",TEXT(Z56,"@"))-1),TEXT(Z56,"@"))),"000000000000000"),{15,14,13,12,11,10,9,8,7,6,5,4,3,2,1},1)),{3,7,13,17,19,23,29,37,41,43,47,53,59,67,71}),11))))))</f>
        <v>N/A</v>
      </c>
      <c r="AB56" s="26">
        <v>81121502</v>
      </c>
      <c r="AC56" s="29">
        <f t="shared" si="3"/>
        <v>338</v>
      </c>
      <c r="AD56" s="19">
        <v>7626</v>
      </c>
      <c r="AE56" s="19">
        <v>8126</v>
      </c>
      <c r="AF56" s="19" t="s">
        <v>39</v>
      </c>
    </row>
    <row r="57" spans="1:32" ht="61.5" customHeight="1" x14ac:dyDescent="0.35">
      <c r="A57" s="1" t="str">
        <f>[1]Contratos!A57</f>
        <v>CONTRATO 56 DE 2026</v>
      </c>
      <c r="B57" s="10" t="str">
        <f>[1]Contratos!B57</f>
        <v xml:space="preserve">LITIGANDO PUNTO COM </v>
      </c>
      <c r="C57" s="10" t="str">
        <f>[1]Contratos!E57</f>
        <v>Mínima cuantía</v>
      </c>
      <c r="D57" s="10" t="s">
        <v>167</v>
      </c>
      <c r="E57" s="11" t="str">
        <f>[1]Contratos!F57</f>
        <v>Prestación del servicio de vigilancia y control judicial de los procesos judiciales en los cuales la CRC sea parte o tercero, y que se estén adelantando en cualquiera de los despachos judiciales ubicados en el territorio nacional.</v>
      </c>
      <c r="F57" s="12">
        <v>7632350</v>
      </c>
      <c r="G57" s="13">
        <f>[1]Contratos!G57</f>
        <v>4598997</v>
      </c>
      <c r="H57" s="14" t="str">
        <f>IFERROR(VLOOKUP(A57, [1]Otrosí!A:F, 6, FALSE), "0")</f>
        <v>0</v>
      </c>
      <c r="I57" s="13">
        <f t="shared" si="0"/>
        <v>4598997</v>
      </c>
      <c r="J57" s="15">
        <v>2555000</v>
      </c>
      <c r="K57" s="13">
        <f t="shared" si="1"/>
        <v>2043997</v>
      </c>
      <c r="L57" s="16">
        <f t="shared" si="2"/>
        <v>0.55555591795341464</v>
      </c>
      <c r="M57" s="17">
        <f>[1]Contratos!O57</f>
        <v>46057</v>
      </c>
      <c r="N57" s="17">
        <f>[1]Contratos!P57</f>
        <v>46059</v>
      </c>
      <c r="O57" s="17">
        <f>[1]Contratos!Q57</f>
        <v>46371</v>
      </c>
      <c r="P57" s="17" t="str">
        <f>IFERROR(VLOOKUP(A57, [1]Otrosí!A:L, 7, FALSE), "N/A")</f>
        <v>N/A</v>
      </c>
      <c r="Q57" s="18" t="s">
        <v>73</v>
      </c>
      <c r="R57" s="19" t="s">
        <v>34</v>
      </c>
      <c r="S57" s="31" t="s">
        <v>168</v>
      </c>
      <c r="T57" s="21" t="s">
        <v>36</v>
      </c>
      <c r="U57" s="10" t="str">
        <f>[1]Contratos!C57</f>
        <v>PJ</v>
      </c>
      <c r="V57" s="10" t="str">
        <f>[1]Contratos!I57</f>
        <v>GESTIÓN JURÍDICA</v>
      </c>
      <c r="W57" s="22" t="str">
        <f>[1]Contratos!J57</f>
        <v>VICTOR SANDOVAL</v>
      </c>
      <c r="X57" s="23" cm="1">
        <f t="array" ref="X57">IFERROR(VLOOKUP(W57,[1]COORD!$A$30:$B$66, 2, FALSE),[1]COORD!$B$30:$B$66)</f>
        <v>1026264211</v>
      </c>
      <c r="Y57" s="24" t="s">
        <v>75</v>
      </c>
      <c r="Z57" s="25">
        <v>830070346</v>
      </c>
      <c r="AA57" s="26" cm="1">
        <f t="array" ref="AA57">IF(Y57&lt;&gt;"NIT","N/A",IF(OR(Z57="",Z57="N/A"),"N/A",IF(ISERROR(VALUE(IF(ISNUMBER(FIND("-",TEXT(Z57,"@"))),LEFT(TEXT(Z57,"@"),FIND("-",TEXT(Z57,"@"))-1),TEXT(Z57,"@")))),"N/A",IF(MOD(SUMPRODUCT(VALUE(MID(TEXT(VALUE(IF(ISNUMBER(FIND("-",TEXT(Z57,"@"))),LEFT(TEXT(Z57,"@"),FIND("-",TEXT(Z57,"@"))-1),TEXT(Z57,"@"))),"000000000000000"),{15,14,13,12,11,10,9,8,7,6,5,4,3,2,1},1)),{3,7,13,17,19,23,29,37,41,43,47,53,59,67,71}),11)=0,0,IF(MOD(SUMPRODUCT(VALUE(MID(TEXT(VALUE(IF(ISNUMBER(FIND("-",TEXT(Z57,"@"))),LEFT(TEXT(Z57,"@"),FIND("-",TEXT(Z57,"@"))-1),TEXT(Z57,"@"))),"000000000000000"),{15,14,13,12,11,10,9,8,7,6,5,4,3,2,1},1)),{3,7,13,17,19,23,29,37,41,43,47,53,59,67,71}),11)=1,1,11-MOD(SUMPRODUCT(VALUE(MID(TEXT(VALUE(IF(ISNUMBER(FIND("-",TEXT(Z57,"@"))),LEFT(TEXT(Z57,"@"),FIND("-",TEXT(Z57,"@"))-1),TEXT(Z57,"@"))),"000000000000000"),{15,14,13,12,11,10,9,8,7,6,5,4,3,2,1},1)),{3,7,13,17,19,23,29,37,41,43,47,53,59,67,71}),11))))))</f>
        <v>3</v>
      </c>
      <c r="AB57" s="26">
        <v>80161501</v>
      </c>
      <c r="AC57" s="29">
        <f t="shared" si="3"/>
        <v>314</v>
      </c>
      <c r="AD57" s="19">
        <v>5626</v>
      </c>
      <c r="AE57" s="19">
        <v>9026</v>
      </c>
      <c r="AF57" s="19" t="s">
        <v>39</v>
      </c>
    </row>
    <row r="58" spans="1:32" ht="61.5" customHeight="1" x14ac:dyDescent="0.35">
      <c r="A58" s="1" t="str">
        <f>[1]Contratos!A58</f>
        <v>CONTRATO 57 DE 2026</v>
      </c>
      <c r="B58" s="10" t="str">
        <f>[1]Contratos!B58</f>
        <v>NOVATOURS LTDA</v>
      </c>
      <c r="C58" s="10" t="str">
        <f>[1]Contratos!E58</f>
        <v>Selección Abreviada Subasta Inversa</v>
      </c>
      <c r="D58" s="10" t="s">
        <v>169</v>
      </c>
      <c r="E58" s="11" t="str">
        <f>[1]Contratos!F58</f>
        <v>Contratar el suministro de tiquetes aéreos nacionales e internacionales necesarios para el desarrollo de las actividades de la Comisión de Regulación de Comunicaciones (CRC), a través de una agencia de viajes.</v>
      </c>
      <c r="F58" s="12">
        <v>392500000</v>
      </c>
      <c r="G58" s="13">
        <f>[1]Contratos!G58</f>
        <v>392500000</v>
      </c>
      <c r="H58" s="14" t="str">
        <f>IFERROR(VLOOKUP(A58, [1]Otrosí!A:F, 6, FALSE), "0")</f>
        <v>0</v>
      </c>
      <c r="I58" s="13">
        <f t="shared" si="0"/>
        <v>392500000</v>
      </c>
      <c r="J58" s="15">
        <v>280000736</v>
      </c>
      <c r="K58" s="13">
        <f t="shared" si="1"/>
        <v>112499264</v>
      </c>
      <c r="L58" s="16">
        <f t="shared" si="2"/>
        <v>0.71337767133757957</v>
      </c>
      <c r="M58" s="17">
        <f>[1]Contratos!O58</f>
        <v>46058</v>
      </c>
      <c r="N58" s="17">
        <f>[1]Contratos!P58</f>
        <v>46062</v>
      </c>
      <c r="O58" s="17">
        <f>[1]Contratos!Q58</f>
        <v>46387</v>
      </c>
      <c r="P58" s="17" t="str">
        <f>IFERROR(VLOOKUP(A58, [1]Otrosí!A:L, 7, FALSE), "N/A")</f>
        <v>N/A</v>
      </c>
      <c r="Q58" s="18" t="s">
        <v>170</v>
      </c>
      <c r="R58" s="19" t="s">
        <v>34</v>
      </c>
      <c r="S58" s="31" t="s">
        <v>171</v>
      </c>
      <c r="T58" s="21" t="s">
        <v>36</v>
      </c>
      <c r="U58" s="10" t="str">
        <f>[1]Contratos!C58</f>
        <v>PJ</v>
      </c>
      <c r="V58" s="10" t="str">
        <f>[1]Contratos!I58</f>
        <v>RELACIONES CON GRUPOS DE VALOR</v>
      </c>
      <c r="W58" s="22" t="str">
        <f>[1]Contratos!J58</f>
        <v>YAMILE MATEUS</v>
      </c>
      <c r="X58" s="23" cm="1">
        <f t="array" ref="X58">IFERROR(VLOOKUP(W58,[1]COORD!$A$30:$B$66, 2, FALSE),[1]COORD!$B$30:$B$66)</f>
        <v>46676269</v>
      </c>
      <c r="Y58" s="24" t="s">
        <v>75</v>
      </c>
      <c r="Z58" s="25">
        <v>800003442</v>
      </c>
      <c r="AA58" s="26" cm="1">
        <f t="array" ref="AA58">IF(Y58&lt;&gt;"NIT","N/A",IF(OR(Z58="",Z58="N/A"),"N/A",IF(ISERROR(VALUE(IF(ISNUMBER(FIND("-",TEXT(Z58,"@"))),LEFT(TEXT(Z58,"@"),FIND("-",TEXT(Z58,"@"))-1),TEXT(Z58,"@")))),"N/A",IF(MOD(SUMPRODUCT(VALUE(MID(TEXT(VALUE(IF(ISNUMBER(FIND("-",TEXT(Z58,"@"))),LEFT(TEXT(Z58,"@"),FIND("-",TEXT(Z58,"@"))-1),TEXT(Z58,"@"))),"000000000000000"),{15,14,13,12,11,10,9,8,7,6,5,4,3,2,1},1)),{3,7,13,17,19,23,29,37,41,43,47,53,59,67,71}),11)=0,0,IF(MOD(SUMPRODUCT(VALUE(MID(TEXT(VALUE(IF(ISNUMBER(FIND("-",TEXT(Z58,"@"))),LEFT(TEXT(Z58,"@"),FIND("-",TEXT(Z58,"@"))-1),TEXT(Z58,"@"))),"000000000000000"),{15,14,13,12,11,10,9,8,7,6,5,4,3,2,1},1)),{3,7,13,17,19,23,29,37,41,43,47,53,59,67,71}),11)=1,1,11-MOD(SUMPRODUCT(VALUE(MID(TEXT(VALUE(IF(ISNUMBER(FIND("-",TEXT(Z58,"@"))),LEFT(TEXT(Z58,"@"),FIND("-",TEXT(Z58,"@"))-1),TEXT(Z58,"@"))),"000000000000000"),{15,14,13,12,11,10,9,8,7,6,5,4,3,2,1},1)),{3,7,13,17,19,23,29,37,41,43,47,53,59,67,71}),11))))))</f>
        <v>8</v>
      </c>
      <c r="AB58" s="26">
        <v>90121502</v>
      </c>
      <c r="AC58" s="29">
        <f t="shared" si="3"/>
        <v>329</v>
      </c>
      <c r="AD58" s="19">
        <v>2226</v>
      </c>
      <c r="AE58" s="19">
        <v>9426</v>
      </c>
      <c r="AF58" s="19" t="s">
        <v>39</v>
      </c>
    </row>
    <row r="59" spans="1:32" ht="61.5" customHeight="1" x14ac:dyDescent="0.35">
      <c r="A59" s="1" t="str">
        <f>[1]Contratos!A59</f>
        <v>CONTRATO 58 DE 2026</v>
      </c>
      <c r="B59" s="10" t="str">
        <f>[1]Contratos!B59</f>
        <v>ORGANIZACIÓN IGP S.A.S.</v>
      </c>
      <c r="C59" s="10" t="str">
        <f>[1]Contratos!E59</f>
        <v>Mínima cuantía</v>
      </c>
      <c r="D59" s="10" t="s">
        <v>172</v>
      </c>
      <c r="E59" s="11" t="str">
        <f>[1]Contratos!F59</f>
        <v>Contratar una persona natural o jurídica que provea la prestación de los servicios de conductor de reemplazo para la Comisión de Regulación de Comunicaciones – CRC, en los casos que la entidad lo requiera, durante el 2026.</v>
      </c>
      <c r="F59" s="12">
        <v>15277080</v>
      </c>
      <c r="G59" s="13">
        <f>[1]Contratos!G59</f>
        <v>11828210.460000001</v>
      </c>
      <c r="H59" s="14" t="str">
        <f>IFERROR(VLOOKUP(A59, [1]Otrosí!A:F, 6, FALSE), "0")</f>
        <v>0</v>
      </c>
      <c r="I59" s="13">
        <f t="shared" si="0"/>
        <v>11828210.460000001</v>
      </c>
      <c r="J59" s="15">
        <v>7361524</v>
      </c>
      <c r="K59" s="13">
        <f t="shared" si="1"/>
        <v>4466686.4600000009</v>
      </c>
      <c r="L59" s="16">
        <f t="shared" si="2"/>
        <v>0.62237005546145818</v>
      </c>
      <c r="M59" s="17">
        <f>[1]Contratos!O59</f>
        <v>46062</v>
      </c>
      <c r="N59" s="17">
        <f>[1]Contratos!P59</f>
        <v>46064</v>
      </c>
      <c r="O59" s="17">
        <f>[1]Contratos!Q59</f>
        <v>46371</v>
      </c>
      <c r="P59" s="17" t="str">
        <f>IFERROR(VLOOKUP(A59, [1]Otrosí!A:L, 7, FALSE), "N/A")</f>
        <v>N/A</v>
      </c>
      <c r="Q59" s="18" t="s">
        <v>73</v>
      </c>
      <c r="R59" s="19" t="s">
        <v>55</v>
      </c>
      <c r="S59" s="31" t="s">
        <v>173</v>
      </c>
      <c r="T59" s="21" t="s">
        <v>36</v>
      </c>
      <c r="U59" s="10" t="str">
        <f>[1]Contratos!C59</f>
        <v>PJ</v>
      </c>
      <c r="V59" s="10" t="str">
        <f>[1]Contratos!I59</f>
        <v>GESTIÓN ADM. Y FIN</v>
      </c>
      <c r="W59" s="22" t="str">
        <f>[1]Contratos!J59</f>
        <v>DIANA WILCHES</v>
      </c>
      <c r="X59" s="23" cm="1">
        <f t="array" ref="X59">IFERROR(VLOOKUP(W59,[1]COORD!$A$30:$B$66, 2, FALSE),[1]COORD!$B$30:$B$66)</f>
        <v>40049758</v>
      </c>
      <c r="Y59" s="24" t="s">
        <v>75</v>
      </c>
      <c r="Z59" s="25">
        <v>900777884</v>
      </c>
      <c r="AA59" s="26" cm="1">
        <f t="array" ref="AA59">IF(Y59&lt;&gt;"NIT","N/A",IF(OR(Z59="",Z59="N/A"),"N/A",IF(ISERROR(VALUE(IF(ISNUMBER(FIND("-",TEXT(Z59,"@"))),LEFT(TEXT(Z59,"@"),FIND("-",TEXT(Z59,"@"))-1),TEXT(Z59,"@")))),"N/A",IF(MOD(SUMPRODUCT(VALUE(MID(TEXT(VALUE(IF(ISNUMBER(FIND("-",TEXT(Z59,"@"))),LEFT(TEXT(Z59,"@"),FIND("-",TEXT(Z59,"@"))-1),TEXT(Z59,"@"))),"000000000000000"),{15,14,13,12,11,10,9,8,7,6,5,4,3,2,1},1)),{3,7,13,17,19,23,29,37,41,43,47,53,59,67,71}),11)=0,0,IF(MOD(SUMPRODUCT(VALUE(MID(TEXT(VALUE(IF(ISNUMBER(FIND("-",TEXT(Z59,"@"))),LEFT(TEXT(Z59,"@"),FIND("-",TEXT(Z59,"@"))-1),TEXT(Z59,"@"))),"000000000000000"),{15,14,13,12,11,10,9,8,7,6,5,4,3,2,1},1)),{3,7,13,17,19,23,29,37,41,43,47,53,59,67,71}),11)=1,1,11-MOD(SUMPRODUCT(VALUE(MID(TEXT(VALUE(IF(ISNUMBER(FIND("-",TEXT(Z59,"@"))),LEFT(TEXT(Z59,"@"),FIND("-",TEXT(Z59,"@"))-1),TEXT(Z59,"@"))),"000000000000000"),{15,14,13,12,11,10,9,8,7,6,5,4,3,2,1},1)),{3,7,13,17,19,23,29,37,41,43,47,53,59,67,71}),11))))))</f>
        <v>3</v>
      </c>
      <c r="AB59" s="26">
        <v>80111612</v>
      </c>
      <c r="AC59" s="29">
        <f t="shared" si="3"/>
        <v>309</v>
      </c>
      <c r="AD59" s="19">
        <v>2126</v>
      </c>
      <c r="AE59" s="19">
        <v>9626</v>
      </c>
      <c r="AF59" s="19" t="s">
        <v>39</v>
      </c>
    </row>
    <row r="60" spans="1:32" ht="61.5" customHeight="1" x14ac:dyDescent="0.35">
      <c r="A60" s="1" t="str">
        <f>[1]Contratos!A60</f>
        <v>CONTRATO 59 DE 2026</v>
      </c>
      <c r="B60" s="10" t="str">
        <f>[1]Contratos!B60</f>
        <v>GRUPO EDS AUTOGAS S.A.S.</v>
      </c>
      <c r="C60" s="10" t="str">
        <f>[1]Contratos!E60</f>
        <v>Mínima cuantía</v>
      </c>
      <c r="D60" s="10" t="s">
        <v>174</v>
      </c>
      <c r="E60" s="11" t="str">
        <f>[1]Contratos!F60</f>
        <v>suministro de combustible (gasolina corriente) para los vehículos de propiedad de la Comisión de Regulación de Comunicaciones – CRC</v>
      </c>
      <c r="F60" s="12">
        <v>31930000</v>
      </c>
      <c r="G60" s="13">
        <f>[1]Contratos!G60</f>
        <v>31930000</v>
      </c>
      <c r="H60" s="14" t="str">
        <f>IFERROR(VLOOKUP(A60, [1]Otrosí!A:F, 6, FALSE), "0")</f>
        <v>0</v>
      </c>
      <c r="I60" s="13">
        <f t="shared" si="0"/>
        <v>31930000</v>
      </c>
      <c r="J60" s="15">
        <v>8728934</v>
      </c>
      <c r="K60" s="13">
        <f t="shared" si="1"/>
        <v>23201066</v>
      </c>
      <c r="L60" s="16">
        <f t="shared" si="2"/>
        <v>0.27337720012527406</v>
      </c>
      <c r="M60" s="17">
        <f>[1]Contratos!O60</f>
        <v>46077</v>
      </c>
      <c r="N60" s="17">
        <f>[1]Contratos!P60</f>
        <v>46083</v>
      </c>
      <c r="O60" s="17">
        <f>[1]Contratos!Q60</f>
        <v>46387</v>
      </c>
      <c r="P60" s="17" t="str">
        <f>IFERROR(VLOOKUP(A60, [1]Otrosí!A:L, 7, FALSE), "N/A")</f>
        <v>N/A</v>
      </c>
      <c r="Q60" s="18" t="s">
        <v>170</v>
      </c>
      <c r="R60" s="19" t="s">
        <v>55</v>
      </c>
      <c r="S60" s="31" t="s">
        <v>175</v>
      </c>
      <c r="T60" s="21" t="s">
        <v>36</v>
      </c>
      <c r="U60" s="10" t="str">
        <f>[1]Contratos!C60</f>
        <v>PJ</v>
      </c>
      <c r="V60" s="10" t="str">
        <f>[1]Contratos!I60</f>
        <v>GESTIÓN ADM. Y FIN</v>
      </c>
      <c r="W60" s="22" t="str">
        <f>[1]Contratos!J60</f>
        <v>DIANA WILCHES</v>
      </c>
      <c r="X60" s="23" cm="1">
        <f t="array" ref="X60">IFERROR(VLOOKUP(W60,[1]COORD!$A$30:$B$66, 2, FALSE),[1]COORD!$B$30:$B$66)</f>
        <v>40049758</v>
      </c>
      <c r="Y60" s="24" t="s">
        <v>75</v>
      </c>
      <c r="Z60" s="25">
        <v>900459737</v>
      </c>
      <c r="AA60" s="26" cm="1">
        <f t="array" ref="AA60">IF(Y60&lt;&gt;"NIT","N/A",IF(OR(Z60="",Z60="N/A"),"N/A",IF(ISERROR(VALUE(IF(ISNUMBER(FIND("-",TEXT(Z60,"@"))),LEFT(TEXT(Z60,"@"),FIND("-",TEXT(Z60,"@"))-1),TEXT(Z60,"@")))),"N/A",IF(MOD(SUMPRODUCT(VALUE(MID(TEXT(VALUE(IF(ISNUMBER(FIND("-",TEXT(Z60,"@"))),LEFT(TEXT(Z60,"@"),FIND("-",TEXT(Z60,"@"))-1),TEXT(Z60,"@"))),"000000000000000"),{15,14,13,12,11,10,9,8,7,6,5,4,3,2,1},1)),{3,7,13,17,19,23,29,37,41,43,47,53,59,67,71}),11)=0,0,IF(MOD(SUMPRODUCT(VALUE(MID(TEXT(VALUE(IF(ISNUMBER(FIND("-",TEXT(Z60,"@"))),LEFT(TEXT(Z60,"@"),FIND("-",TEXT(Z60,"@"))-1),TEXT(Z60,"@"))),"000000000000000"),{15,14,13,12,11,10,9,8,7,6,5,4,3,2,1},1)),{3,7,13,17,19,23,29,37,41,43,47,53,59,67,71}),11)=1,1,11-MOD(SUMPRODUCT(VALUE(MID(TEXT(VALUE(IF(ISNUMBER(FIND("-",TEXT(Z60,"@"))),LEFT(TEXT(Z60,"@"),FIND("-",TEXT(Z60,"@"))-1),TEXT(Z60,"@"))),"000000000000000"),{15,14,13,12,11,10,9,8,7,6,5,4,3,2,1},1)),{3,7,13,17,19,23,29,37,41,43,47,53,59,67,71}),11))))))</f>
        <v>5</v>
      </c>
      <c r="AB60" s="26">
        <v>78181701</v>
      </c>
      <c r="AC60" s="29">
        <f t="shared" si="3"/>
        <v>310</v>
      </c>
      <c r="AD60" s="19">
        <v>3426</v>
      </c>
      <c r="AE60" s="19">
        <v>11126</v>
      </c>
      <c r="AF60" s="19" t="s">
        <v>39</v>
      </c>
    </row>
    <row r="61" spans="1:32" ht="61.5" customHeight="1" x14ac:dyDescent="0.35">
      <c r="A61" s="1" t="str">
        <f>[1]Contratos!A61</f>
        <v>CONTRATO 60 DE 2026</v>
      </c>
      <c r="B61" s="10" t="str">
        <f>[1]Contratos!B61</f>
        <v>PORTÁTIL S.A.S.</v>
      </c>
      <c r="C61" s="10" t="str">
        <f>[1]Contratos!E61</f>
        <v>Mínima cuantía</v>
      </c>
      <c r="D61" s="10" t="s">
        <v>176</v>
      </c>
      <c r="E61" s="11" t="str">
        <f>[1]Contratos!F61</f>
        <v>Renovación de la suscripción por el término de un (1) año de una (1) licencia de la Suite de Adobe Creative Cloud Pro con contrato de licenciamiento VIP para la Comisión de Regulación de Comunicaciones.</v>
      </c>
      <c r="F61" s="12">
        <v>4648649</v>
      </c>
      <c r="G61" s="13">
        <f>[1]Contratos!G61</f>
        <v>4055223.4</v>
      </c>
      <c r="H61" s="14" t="str">
        <f>IFERROR(VLOOKUP(A61, [1]Otrosí!A:F, 6, FALSE), "0")</f>
        <v>0</v>
      </c>
      <c r="I61" s="13">
        <f t="shared" si="0"/>
        <v>4055223.4</v>
      </c>
      <c r="J61" s="15">
        <v>4055243</v>
      </c>
      <c r="K61" s="13">
        <f t="shared" si="1"/>
        <v>-19.600000000093132</v>
      </c>
      <c r="L61" s="16">
        <f t="shared" si="2"/>
        <v>1.000004833272564</v>
      </c>
      <c r="M61" s="17">
        <f>[1]Contratos!O61</f>
        <v>46084</v>
      </c>
      <c r="N61" s="17">
        <f>[1]Contratos!P61</f>
        <v>46091</v>
      </c>
      <c r="O61" s="17">
        <f>[1]Contratos!Q61</f>
        <v>46455</v>
      </c>
      <c r="P61" s="17" t="str">
        <f>IFERROR(VLOOKUP(A61, [1]Otrosí!A:L, 7, FALSE), "N/A")</f>
        <v>N/A</v>
      </c>
      <c r="Q61" s="18" t="s">
        <v>73</v>
      </c>
      <c r="R61" s="19" t="s">
        <v>34</v>
      </c>
      <c r="S61" s="31" t="s">
        <v>177</v>
      </c>
      <c r="T61" s="21" t="s">
        <v>36</v>
      </c>
      <c r="U61" s="10" t="str">
        <f>[1]Contratos!C61</f>
        <v>PJ</v>
      </c>
      <c r="V61" s="10" t="str">
        <f>[1]Contratos!I61</f>
        <v>TECNOLOGÍAS Y SIST. DE INF.</v>
      </c>
      <c r="W61" s="22" t="str">
        <f>[1]Contratos!J61</f>
        <v>EDWIN ALBERTO VARGAS</v>
      </c>
      <c r="X61" s="23" cm="1">
        <f t="array" ref="X61">IFERROR(VLOOKUP(W61,[1]COORD!$A$30:$B$66, 2, FALSE),[1]COORD!$B$30:$B$66)</f>
        <v>7173927</v>
      </c>
      <c r="Y61" s="24" t="s">
        <v>75</v>
      </c>
      <c r="Z61" s="25">
        <v>811005902</v>
      </c>
      <c r="AA61" s="26" cm="1">
        <f t="array" ref="AA61">IF(Y61&lt;&gt;"NIT","N/A",IF(OR(Z61="",Z61="N/A"),"N/A",IF(ISERROR(VALUE(IF(ISNUMBER(FIND("-",TEXT(Z61,"@"))),LEFT(TEXT(Z61,"@"),FIND("-",TEXT(Z61,"@"))-1),TEXT(Z61,"@")))),"N/A",IF(MOD(SUMPRODUCT(VALUE(MID(TEXT(VALUE(IF(ISNUMBER(FIND("-",TEXT(Z61,"@"))),LEFT(TEXT(Z61,"@"),FIND("-",TEXT(Z61,"@"))-1),TEXT(Z61,"@"))),"000000000000000"),{15,14,13,12,11,10,9,8,7,6,5,4,3,2,1},1)),{3,7,13,17,19,23,29,37,41,43,47,53,59,67,71}),11)=0,0,IF(MOD(SUMPRODUCT(VALUE(MID(TEXT(VALUE(IF(ISNUMBER(FIND("-",TEXT(Z61,"@"))),LEFT(TEXT(Z61,"@"),FIND("-",TEXT(Z61,"@"))-1),TEXT(Z61,"@"))),"000000000000000"),{15,14,13,12,11,10,9,8,7,6,5,4,3,2,1},1)),{3,7,13,17,19,23,29,37,41,43,47,53,59,67,71}),11)=1,1,11-MOD(SUMPRODUCT(VALUE(MID(TEXT(VALUE(IF(ISNUMBER(FIND("-",TEXT(Z61,"@"))),LEFT(TEXT(Z61,"@"),FIND("-",TEXT(Z61,"@"))-1),TEXT(Z61,"@"))),"000000000000000"),{15,14,13,12,11,10,9,8,7,6,5,4,3,2,1},1)),{3,7,13,17,19,23,29,37,41,43,47,53,59,67,71}),11))))))</f>
        <v>3</v>
      </c>
      <c r="AB61" s="26">
        <v>81112501</v>
      </c>
      <c r="AC61" s="29">
        <f t="shared" si="3"/>
        <v>371</v>
      </c>
      <c r="AD61" s="19">
        <v>8526</v>
      </c>
      <c r="AE61" s="19">
        <v>11626</v>
      </c>
      <c r="AF61" s="19" t="s">
        <v>39</v>
      </c>
    </row>
    <row r="62" spans="1:32" ht="61.5" customHeight="1" x14ac:dyDescent="0.35">
      <c r="A62" s="1" t="str">
        <f>[1]Contratos!A62</f>
        <v>CONTRATO 61 DE 2026</v>
      </c>
      <c r="B62" s="10" t="str">
        <f>[1]Contratos!B62</f>
        <v>CREAR IMAGEN SAS</v>
      </c>
      <c r="C62" s="10" t="str">
        <f>[1]Contratos!E62</f>
        <v>Mínima cuantía</v>
      </c>
      <c r="D62" s="10" t="s">
        <v>178</v>
      </c>
      <c r="E62" s="11" t="str">
        <f>[1]Contratos!F62</f>
        <v>Contratar la prestación del servicio de una plataforma tecnológica tipo SaaS, que permita a la Comisión de Regulación de Comunicaciones gestionar el envío de comunicaciones institucionales masivas a través de correo electrónico durante la vigencia 2026, incluyendo el acceso a la plataforma, soporte técnico y el almacenamiento asociado durante la ejecución del contrato.</v>
      </c>
      <c r="F62" s="12">
        <v>6256550</v>
      </c>
      <c r="G62" s="13">
        <f>[1]Contratos!G62</f>
        <v>2987274</v>
      </c>
      <c r="H62" s="14" t="str">
        <f>IFERROR(VLOOKUP(A62, [1]Otrosí!A:F, 6, FALSE), "0")</f>
        <v>0</v>
      </c>
      <c r="I62" s="13">
        <f t="shared" si="0"/>
        <v>2987274</v>
      </c>
      <c r="J62" s="15">
        <v>1165036</v>
      </c>
      <c r="K62" s="13">
        <f t="shared" si="1"/>
        <v>1822238</v>
      </c>
      <c r="L62" s="16">
        <f t="shared" si="2"/>
        <v>0.38999971211211293</v>
      </c>
      <c r="M62" s="17">
        <f>[1]Contratos!O62</f>
        <v>46084</v>
      </c>
      <c r="N62" s="17">
        <f>[1]Contratos!P62</f>
        <v>46085</v>
      </c>
      <c r="O62" s="17">
        <f>[1]Contratos!Q62</f>
        <v>46387</v>
      </c>
      <c r="P62" s="17" t="str">
        <f>IFERROR(VLOOKUP(A62, [1]Otrosí!A:L, 7, FALSE), "N/A")</f>
        <v>N/A</v>
      </c>
      <c r="Q62" s="18" t="s">
        <v>73</v>
      </c>
      <c r="R62" s="19" t="s">
        <v>34</v>
      </c>
      <c r="S62" s="31" t="s">
        <v>179</v>
      </c>
      <c r="T62" s="21" t="s">
        <v>36</v>
      </c>
      <c r="U62" s="10" t="str">
        <f>[1]Contratos!C62</f>
        <v>PJ</v>
      </c>
      <c r="V62" s="10" t="str">
        <f>[1]Contratos!I62</f>
        <v>RELACIONES CON GRUPOS DE VALOR</v>
      </c>
      <c r="W62" s="22" t="str">
        <f>[1]Contratos!J62</f>
        <v>ROCIO QUINCHE</v>
      </c>
      <c r="X62" s="23" cm="1">
        <f t="array" ref="X62">IFERROR(VLOOKUP(W62,[1]COORD!$A$30:$B$66, 2, FALSE),[1]COORD!$B$30:$B$66)</f>
        <v>1032417388</v>
      </c>
      <c r="Y62" s="24" t="s">
        <v>75</v>
      </c>
      <c r="Z62" s="25">
        <v>900457310</v>
      </c>
      <c r="AA62" s="26" cm="1">
        <f t="array" ref="AA62">IF(Y62&lt;&gt;"NIT","N/A",IF(OR(Z62="",Z62="N/A"),"N/A",IF(ISERROR(VALUE(IF(ISNUMBER(FIND("-",TEXT(Z62,"@"))),LEFT(TEXT(Z62,"@"),FIND("-",TEXT(Z62,"@"))-1),TEXT(Z62,"@")))),"N/A",IF(MOD(SUMPRODUCT(VALUE(MID(TEXT(VALUE(IF(ISNUMBER(FIND("-",TEXT(Z62,"@"))),LEFT(TEXT(Z62,"@"),FIND("-",TEXT(Z62,"@"))-1),TEXT(Z62,"@"))),"000000000000000"),{15,14,13,12,11,10,9,8,7,6,5,4,3,2,1},1)),{3,7,13,17,19,23,29,37,41,43,47,53,59,67,71}),11)=0,0,IF(MOD(SUMPRODUCT(VALUE(MID(TEXT(VALUE(IF(ISNUMBER(FIND("-",TEXT(Z62,"@"))),LEFT(TEXT(Z62,"@"),FIND("-",TEXT(Z62,"@"))-1),TEXT(Z62,"@"))),"000000000000000"),{15,14,13,12,11,10,9,8,7,6,5,4,3,2,1},1)),{3,7,13,17,19,23,29,37,41,43,47,53,59,67,71}),11)=1,1,11-MOD(SUMPRODUCT(VALUE(MID(TEXT(VALUE(IF(ISNUMBER(FIND("-",TEXT(Z62,"@"))),LEFT(TEXT(Z62,"@"),FIND("-",TEXT(Z62,"@"))-1),TEXT(Z62,"@"))),"000000000000000"),{15,14,13,12,11,10,9,8,7,6,5,4,3,2,1},1)),{3,7,13,17,19,23,29,37,41,43,47,53,59,67,71}),11))))))</f>
        <v>5</v>
      </c>
      <c r="AB62" s="26">
        <v>81161601</v>
      </c>
      <c r="AC62" s="29">
        <f t="shared" si="3"/>
        <v>303</v>
      </c>
      <c r="AD62" s="19">
        <v>8626</v>
      </c>
      <c r="AE62" s="19">
        <v>11526</v>
      </c>
      <c r="AF62" s="19" t="s">
        <v>39</v>
      </c>
    </row>
    <row r="63" spans="1:32" ht="61.5" customHeight="1" x14ac:dyDescent="0.35">
      <c r="A63" s="1" t="str">
        <f>[1]Contratos!A63</f>
        <v>CONTRATO 62 DE 2026</v>
      </c>
      <c r="B63" s="10" t="str">
        <f>[1]Contratos!B63</f>
        <v>PORTÁTIL S.A.S.</v>
      </c>
      <c r="C63" s="10" t="str">
        <f>[1]Contratos!E63</f>
        <v>Mínima cuantía</v>
      </c>
      <c r="D63" s="10" t="s">
        <v>180</v>
      </c>
      <c r="E63" s="11" t="str">
        <f>[1]Contratos!F63</f>
        <v>Renovación de la suscripción por un (1) año de los servicios del software de editor de archivos PDF Adobe Acrobat PRO For Teams con contrato de licenciamiento VIP para la Comisión de Regulación de Comunicaciones.</v>
      </c>
      <c r="F63" s="12">
        <v>26663225</v>
      </c>
      <c r="G63" s="13">
        <f>[1]Contratos!G63</f>
        <v>21776085</v>
      </c>
      <c r="H63" s="14" t="str">
        <f>IFERROR(VLOOKUP(A63, [1]Otrosí!A:F, 6, FALSE), "0")</f>
        <v>0</v>
      </c>
      <c r="I63" s="13">
        <f t="shared" si="0"/>
        <v>21776085</v>
      </c>
      <c r="J63" s="15">
        <v>21776085</v>
      </c>
      <c r="K63" s="13">
        <f t="shared" si="1"/>
        <v>0</v>
      </c>
      <c r="L63" s="16">
        <f t="shared" si="2"/>
        <v>1</v>
      </c>
      <c r="M63" s="17">
        <f>[1]Contratos!O63</f>
        <v>46085</v>
      </c>
      <c r="N63" s="17">
        <f>[1]Contratos!P63</f>
        <v>46086</v>
      </c>
      <c r="O63" s="17">
        <f>[1]Contratos!Q63</f>
        <v>46450</v>
      </c>
      <c r="P63" s="17" t="str">
        <f>IFERROR(VLOOKUP(A63, [1]Otrosí!A:L, 7, FALSE), "N/A")</f>
        <v>N/A</v>
      </c>
      <c r="Q63" s="18" t="s">
        <v>73</v>
      </c>
      <c r="R63" s="19" t="s">
        <v>34</v>
      </c>
      <c r="S63" s="31" t="s">
        <v>181</v>
      </c>
      <c r="T63" s="21" t="s">
        <v>36</v>
      </c>
      <c r="U63" s="10" t="str">
        <f>[1]Contratos!C63</f>
        <v>PJ</v>
      </c>
      <c r="V63" s="10" t="str">
        <f>[1]Contratos!I63</f>
        <v>TECNOLOGÍAS Y SIST. DE INF.</v>
      </c>
      <c r="W63" s="22" t="str">
        <f>[1]Contratos!J63</f>
        <v>EDWIN ALBERTO VARGAS</v>
      </c>
      <c r="X63" s="23" cm="1">
        <f t="array" ref="X63">IFERROR(VLOOKUP(W63,[1]COORD!$A$30:$B$66, 2, FALSE),[1]COORD!$B$30:$B$66)</f>
        <v>7173927</v>
      </c>
      <c r="Y63" s="24" t="s">
        <v>75</v>
      </c>
      <c r="Z63" s="25">
        <v>811005902</v>
      </c>
      <c r="AA63" s="26" cm="1">
        <f t="array" ref="AA63">IF(Y63&lt;&gt;"NIT","N/A",IF(OR(Z63="",Z63="N/A"),"N/A",IF(ISERROR(VALUE(IF(ISNUMBER(FIND("-",TEXT(Z63,"@"))),LEFT(TEXT(Z63,"@"),FIND("-",TEXT(Z63,"@"))-1),TEXT(Z63,"@")))),"N/A",IF(MOD(SUMPRODUCT(VALUE(MID(TEXT(VALUE(IF(ISNUMBER(FIND("-",TEXT(Z63,"@"))),LEFT(TEXT(Z63,"@"),FIND("-",TEXT(Z63,"@"))-1),TEXT(Z63,"@"))),"000000000000000"),{15,14,13,12,11,10,9,8,7,6,5,4,3,2,1},1)),{3,7,13,17,19,23,29,37,41,43,47,53,59,67,71}),11)=0,0,IF(MOD(SUMPRODUCT(VALUE(MID(TEXT(VALUE(IF(ISNUMBER(FIND("-",TEXT(Z63,"@"))),LEFT(TEXT(Z63,"@"),FIND("-",TEXT(Z63,"@"))-1),TEXT(Z63,"@"))),"000000000000000"),{15,14,13,12,11,10,9,8,7,6,5,4,3,2,1},1)),{3,7,13,17,19,23,29,37,41,43,47,53,59,67,71}),11)=1,1,11-MOD(SUMPRODUCT(VALUE(MID(TEXT(VALUE(IF(ISNUMBER(FIND("-",TEXT(Z63,"@"))),LEFT(TEXT(Z63,"@"),FIND("-",TEXT(Z63,"@"))-1),TEXT(Z63,"@"))),"000000000000000"),{15,14,13,12,11,10,9,8,7,6,5,4,3,2,1},1)),{3,7,13,17,19,23,29,37,41,43,47,53,59,67,71}),11))))))</f>
        <v>3</v>
      </c>
      <c r="AB63" s="26">
        <v>81112501</v>
      </c>
      <c r="AC63" s="29">
        <f t="shared" si="3"/>
        <v>365</v>
      </c>
      <c r="AD63" s="19">
        <v>8826</v>
      </c>
      <c r="AE63" s="19">
        <v>12826</v>
      </c>
      <c r="AF63" s="19" t="s">
        <v>39</v>
      </c>
    </row>
    <row r="64" spans="1:32" ht="61.5" customHeight="1" x14ac:dyDescent="0.35">
      <c r="A64" s="1" t="str">
        <f>[1]Contratos!A64</f>
        <v>CONTRATO 63 DE 2026</v>
      </c>
      <c r="B64" s="10" t="str">
        <f>[1]Contratos!B64</f>
        <v>BICODE S.A.S</v>
      </c>
      <c r="C64" s="10" t="str">
        <f>[1]Contratos!E64</f>
        <v>Mínima cuantía</v>
      </c>
      <c r="D64" s="10" t="s">
        <v>182</v>
      </c>
      <c r="E64" s="11" t="str">
        <f>[1]Contratos!F64</f>
        <v>Renovar los servicios de Microsoft Azure Suscripción CSP de la Comisión de Regulación de Comunicaciones, con el fin de garantizar recursos tecnológicos que permitan asegurar la disponibilidad y operación de la infraestructura actual; así como el aprovisionamiento de nuevos servicios de computación en la nube que demande el ejercicio misional e institucional de la Entidad y/o el sector de las TICs del país</v>
      </c>
      <c r="F64" s="12">
        <v>48829827</v>
      </c>
      <c r="G64" s="13">
        <f>[1]Contratos!G64</f>
        <v>48829827</v>
      </c>
      <c r="H64" s="14" t="str">
        <f>IFERROR(VLOOKUP(A64, [1]Otrosí!A:F, 6, FALSE), "0")</f>
        <v>0</v>
      </c>
      <c r="I64" s="13">
        <f t="shared" si="0"/>
        <v>48829827</v>
      </c>
      <c r="J64" s="15">
        <v>42783963</v>
      </c>
      <c r="K64" s="13">
        <f t="shared" si="1"/>
        <v>6045864</v>
      </c>
      <c r="L64" s="16">
        <f t="shared" si="2"/>
        <v>0.87618502109376717</v>
      </c>
      <c r="M64" s="17">
        <f>[1]Contratos!O64</f>
        <v>46087</v>
      </c>
      <c r="N64" s="17">
        <f>[1]Contratos!P64</f>
        <v>46094</v>
      </c>
      <c r="O64" s="17">
        <f>[1]Contratos!Q64</f>
        <v>46104</v>
      </c>
      <c r="P64" s="17" t="str">
        <f>IFERROR(VLOOKUP(A64, [1]Otrosí!A:L, 7, FALSE), "N/A")</f>
        <v>N/A</v>
      </c>
      <c r="Q64" s="18" t="s">
        <v>73</v>
      </c>
      <c r="R64" s="19" t="s">
        <v>34</v>
      </c>
      <c r="S64" s="31" t="s">
        <v>183</v>
      </c>
      <c r="T64" s="21" t="s">
        <v>36</v>
      </c>
      <c r="U64" s="10" t="str">
        <f>[1]Contratos!C64</f>
        <v>PJ</v>
      </c>
      <c r="V64" s="10" t="str">
        <f>[1]Contratos!I64</f>
        <v>TECNOLOGÍAS Y SIST. DE INF.</v>
      </c>
      <c r="W64" s="22" t="str">
        <f>[1]Contratos!J64</f>
        <v>EDWIN ALBERTO VARGAS</v>
      </c>
      <c r="X64" s="23" cm="1">
        <f t="array" ref="X64">IFERROR(VLOOKUP(W64,[1]COORD!$A$30:$B$66, 2, FALSE),[1]COORD!$B$30:$B$66)</f>
        <v>7173927</v>
      </c>
      <c r="Y64" s="24" t="s">
        <v>75</v>
      </c>
      <c r="Z64" s="25">
        <v>901081283</v>
      </c>
      <c r="AA64" s="26" cm="1">
        <f t="array" ref="AA64">IF(Y64&lt;&gt;"NIT","N/A",IF(OR(Z64="",Z64="N/A"),"N/A",IF(ISERROR(VALUE(IF(ISNUMBER(FIND("-",TEXT(Z64,"@"))),LEFT(TEXT(Z64,"@"),FIND("-",TEXT(Z64,"@"))-1),TEXT(Z64,"@")))),"N/A",IF(MOD(SUMPRODUCT(VALUE(MID(TEXT(VALUE(IF(ISNUMBER(FIND("-",TEXT(Z64,"@"))),LEFT(TEXT(Z64,"@"),FIND("-",TEXT(Z64,"@"))-1),TEXT(Z64,"@"))),"000000000000000"),{15,14,13,12,11,10,9,8,7,6,5,4,3,2,1},1)),{3,7,13,17,19,23,29,37,41,43,47,53,59,67,71}),11)=0,0,IF(MOD(SUMPRODUCT(VALUE(MID(TEXT(VALUE(IF(ISNUMBER(FIND("-",TEXT(Z64,"@"))),LEFT(TEXT(Z64,"@"),FIND("-",TEXT(Z64,"@"))-1),TEXT(Z64,"@"))),"000000000000000"),{15,14,13,12,11,10,9,8,7,6,5,4,3,2,1},1)),{3,7,13,17,19,23,29,37,41,43,47,53,59,67,71}),11)=1,1,11-MOD(SUMPRODUCT(VALUE(MID(TEXT(VALUE(IF(ISNUMBER(FIND("-",TEXT(Z64,"@"))),LEFT(TEXT(Z64,"@"),FIND("-",TEXT(Z64,"@"))-1),TEXT(Z64,"@"))),"000000000000000"),{15,14,13,12,11,10,9,8,7,6,5,4,3,2,1},1)),{3,7,13,17,19,23,29,37,41,43,47,53,59,67,71}),11))))))</f>
        <v>2</v>
      </c>
      <c r="AB64" s="26">
        <v>81112500</v>
      </c>
      <c r="AC64" s="29">
        <f t="shared" si="3"/>
        <v>17</v>
      </c>
      <c r="AD64" s="19">
        <v>9226</v>
      </c>
      <c r="AE64" s="19">
        <v>13126</v>
      </c>
      <c r="AF64" s="19" t="s">
        <v>39</v>
      </c>
    </row>
    <row r="65" spans="1:32" ht="61.5" customHeight="1" x14ac:dyDescent="0.35">
      <c r="A65" s="1" t="str">
        <f>[1]Contratos!A65</f>
        <v>CONTRATO 64 DE 2026</v>
      </c>
      <c r="B65" s="10" t="str">
        <f>[1]Contratos!B65</f>
        <v>FTL COMUNICACIONES (Mass Medios)</v>
      </c>
      <c r="C65" s="10" t="str">
        <f>[1]Contratos!E65</f>
        <v>Mínima cuantía</v>
      </c>
      <c r="D65" s="10" t="s">
        <v>184</v>
      </c>
      <c r="E65" s="11" t="str">
        <f>[1]Contratos!F65</f>
        <v xml:space="preserve">Prestar el servicio de monitoreo de noticias en medios de comunicación y redes sociales para la Comisión de Regulación de Comunicaciones, </v>
      </c>
      <c r="F65" s="12">
        <v>30094000</v>
      </c>
      <c r="G65" s="13">
        <f>[1]Contratos!G65</f>
        <v>23684570</v>
      </c>
      <c r="H65" s="14" t="str">
        <f>IFERROR(VLOOKUP(A65, [1]Otrosí!A:F, 6, FALSE), "0")</f>
        <v>0</v>
      </c>
      <c r="I65" s="13">
        <f t="shared" si="0"/>
        <v>23684570</v>
      </c>
      <c r="J65" s="15">
        <v>11210696</v>
      </c>
      <c r="K65" s="13">
        <f t="shared" si="1"/>
        <v>12473874</v>
      </c>
      <c r="L65" s="16">
        <f t="shared" si="2"/>
        <v>0.4733333136299287</v>
      </c>
      <c r="M65" s="17">
        <f>[1]Contratos!O65</f>
        <v>46087</v>
      </c>
      <c r="N65" s="17">
        <f>[1]Contratos!P65</f>
        <v>46090</v>
      </c>
      <c r="O65" s="17">
        <f>[1]Contratos!Q65</f>
        <v>46387</v>
      </c>
      <c r="P65" s="17" t="str">
        <f>IFERROR(VLOOKUP(A65, [1]Otrosí!A:L, 7, FALSE), "N/A")</f>
        <v>N/A</v>
      </c>
      <c r="Q65" s="18" t="s">
        <v>73</v>
      </c>
      <c r="R65" s="19" t="s">
        <v>55</v>
      </c>
      <c r="S65" s="31" t="s">
        <v>185</v>
      </c>
      <c r="T65" s="21" t="s">
        <v>36</v>
      </c>
      <c r="U65" s="10" t="str">
        <f>[1]Contratos!C65</f>
        <v>PJ</v>
      </c>
      <c r="V65" s="10" t="str">
        <f>[1]Contratos!I65</f>
        <v>RELACIONES CON GRUPOS DE VALOR</v>
      </c>
      <c r="W65" s="22" t="str">
        <f>[1]Contratos!J65</f>
        <v>ROCIO QUINCHE</v>
      </c>
      <c r="X65" s="23" cm="1">
        <f t="array" ref="X65">IFERROR(VLOOKUP(W65,[1]COORD!$A$30:$B$66, 2, FALSE),[1]COORD!$B$30:$B$66)</f>
        <v>1032417388</v>
      </c>
      <c r="Y65" s="24" t="s">
        <v>75</v>
      </c>
      <c r="Z65" s="25">
        <v>830065445</v>
      </c>
      <c r="AA65" s="26" cm="1">
        <f t="array" ref="AA65">IF(Y65&lt;&gt;"NIT","N/A",IF(OR(Z65="",Z65="N/A"),"N/A",IF(ISERROR(VALUE(IF(ISNUMBER(FIND("-",TEXT(Z65,"@"))),LEFT(TEXT(Z65,"@"),FIND("-",TEXT(Z65,"@"))-1),TEXT(Z65,"@")))),"N/A",IF(MOD(SUMPRODUCT(VALUE(MID(TEXT(VALUE(IF(ISNUMBER(FIND("-",TEXT(Z65,"@"))),LEFT(TEXT(Z65,"@"),FIND("-",TEXT(Z65,"@"))-1),TEXT(Z65,"@"))),"000000000000000"),{15,14,13,12,11,10,9,8,7,6,5,4,3,2,1},1)),{3,7,13,17,19,23,29,37,41,43,47,53,59,67,71}),11)=0,0,IF(MOD(SUMPRODUCT(VALUE(MID(TEXT(VALUE(IF(ISNUMBER(FIND("-",TEXT(Z65,"@"))),LEFT(TEXT(Z65,"@"),FIND("-",TEXT(Z65,"@"))-1),TEXT(Z65,"@"))),"000000000000000"),{15,14,13,12,11,10,9,8,7,6,5,4,3,2,1},1)),{3,7,13,17,19,23,29,37,41,43,47,53,59,67,71}),11)=1,1,11-MOD(SUMPRODUCT(VALUE(MID(TEXT(VALUE(IF(ISNUMBER(FIND("-",TEXT(Z65,"@"))),LEFT(TEXT(Z65,"@"),FIND("-",TEXT(Z65,"@"))-1),TEXT(Z65,"@"))),"000000000000000"),{15,14,13,12,11,10,9,8,7,6,5,4,3,2,1},1)),{3,7,13,17,19,23,29,37,41,43,47,53,59,67,71}),11))))))</f>
        <v>4</v>
      </c>
      <c r="AB65" s="26">
        <v>83121703</v>
      </c>
      <c r="AC65" s="29">
        <f t="shared" si="3"/>
        <v>300</v>
      </c>
      <c r="AD65" s="19">
        <v>8726</v>
      </c>
      <c r="AE65" s="19">
        <v>13026</v>
      </c>
      <c r="AF65" s="19" t="s">
        <v>39</v>
      </c>
    </row>
    <row r="66" spans="1:32" ht="61.5" customHeight="1" x14ac:dyDescent="0.35">
      <c r="A66" s="1" t="str">
        <f>[1]Contratos!A66</f>
        <v>CONTRATO 65 DE 2026</v>
      </c>
      <c r="B66" s="10" t="str">
        <f>[1]Contratos!B66</f>
        <v>PANTOGLOT LTDA</v>
      </c>
      <c r="C66" s="10" t="str">
        <f>[1]Contratos!E66</f>
        <v>Mínima cuantía</v>
      </c>
      <c r="D66" s="10" t="s">
        <v>186</v>
      </c>
      <c r="E66" s="11" t="str">
        <f>[1]Contratos!F66</f>
        <v>Contratación de los servicios de traducción oficial escrita del idioma inglés al español del informe “Conectividad en un entorno digital en evolución: Revisión de Colombia” y de sus componentes asociados (incluidos anexos, cuadros, figuras y demás contenidos que integren el documento), elaborado por la Organización para la Cooperación y el Desarrollo Económicos (OCDE) a solicitud de la Comisión de Regulación de Comunicaciones (CRC), garantizando fidelidad terminológica, coherencia y consistencia técnica en el texto final.</v>
      </c>
      <c r="F66" s="12">
        <v>20496000</v>
      </c>
      <c r="G66" s="13">
        <f>[1]Contratos!G66</f>
        <v>20496000</v>
      </c>
      <c r="H66" s="14" t="str">
        <f>IFERROR(VLOOKUP(A66, [1]Otrosí!A:F, 6, FALSE), "0")</f>
        <v>0</v>
      </c>
      <c r="I66" s="13">
        <f t="shared" si="0"/>
        <v>20496000</v>
      </c>
      <c r="J66" s="15">
        <v>11312256</v>
      </c>
      <c r="K66" s="13">
        <f t="shared" si="1"/>
        <v>9183744</v>
      </c>
      <c r="L66" s="16">
        <f t="shared" si="2"/>
        <v>0.55192505854800933</v>
      </c>
      <c r="M66" s="17">
        <f>[1]Contratos!O66</f>
        <v>46097</v>
      </c>
      <c r="N66" s="17">
        <f>[1]Contratos!P66</f>
        <v>46098</v>
      </c>
      <c r="O66" s="17">
        <f>[1]Contratos!Q66</f>
        <v>46128</v>
      </c>
      <c r="P66" s="17" t="str">
        <f>IFERROR(VLOOKUP(A66, [1]Otrosí!A:L, 7, FALSE), "N/A")</f>
        <v>N/A</v>
      </c>
      <c r="Q66" s="18" t="s">
        <v>73</v>
      </c>
      <c r="R66" s="19" t="s">
        <v>34</v>
      </c>
      <c r="S66" s="31" t="s">
        <v>187</v>
      </c>
      <c r="T66" s="21" t="s">
        <v>36</v>
      </c>
      <c r="U66" s="10" t="str">
        <f>[1]Contratos!C66</f>
        <v>PJ</v>
      </c>
      <c r="V66" s="10" t="str">
        <f>[1]Contratos!I66</f>
        <v>PROSPECTIVA ESTRATÉGICA</v>
      </c>
      <c r="W66" s="22" t="str">
        <f>[1]Contratos!J66</f>
        <v>VICTOR BALDRICH</v>
      </c>
      <c r="X66" s="23" cm="1">
        <f t="array" ref="X66">IFERROR(VLOOKUP(W66,[1]COORD!$A$30:$B$66, 2, FALSE),[1]COORD!$B$30:$B$66)</f>
        <v>1019105701</v>
      </c>
      <c r="Y66" s="24" t="s">
        <v>75</v>
      </c>
      <c r="Z66" s="25">
        <v>900192835</v>
      </c>
      <c r="AA66" s="26" cm="1">
        <f t="array" ref="AA66">IF(Y66&lt;&gt;"NIT","N/A",IF(OR(Z66="",Z66="N/A"),"N/A",IF(ISERROR(VALUE(IF(ISNUMBER(FIND("-",TEXT(Z66,"@"))),LEFT(TEXT(Z66,"@"),FIND("-",TEXT(Z66,"@"))-1),TEXT(Z66,"@")))),"N/A",IF(MOD(SUMPRODUCT(VALUE(MID(TEXT(VALUE(IF(ISNUMBER(FIND("-",TEXT(Z66,"@"))),LEFT(TEXT(Z66,"@"),FIND("-",TEXT(Z66,"@"))-1),TEXT(Z66,"@"))),"000000000000000"),{15,14,13,12,11,10,9,8,7,6,5,4,3,2,1},1)),{3,7,13,17,19,23,29,37,41,43,47,53,59,67,71}),11)=0,0,IF(MOD(SUMPRODUCT(VALUE(MID(TEXT(VALUE(IF(ISNUMBER(FIND("-",TEXT(Z66,"@"))),LEFT(TEXT(Z66,"@"),FIND("-",TEXT(Z66,"@"))-1),TEXT(Z66,"@"))),"000000000000000"),{15,14,13,12,11,10,9,8,7,6,5,4,3,2,1},1)),{3,7,13,17,19,23,29,37,41,43,47,53,59,67,71}),11)=1,1,11-MOD(SUMPRODUCT(VALUE(MID(TEXT(VALUE(IF(ISNUMBER(FIND("-",TEXT(Z66,"@"))),LEFT(TEXT(Z66,"@"),FIND("-",TEXT(Z66,"@"))-1),TEXT(Z66,"@"))),"000000000000000"),{15,14,13,12,11,10,9,8,7,6,5,4,3,2,1},1)),{3,7,13,17,19,23,29,37,41,43,47,53,59,67,71}),11))))))</f>
        <v>0</v>
      </c>
      <c r="AB66" s="26">
        <v>82111804</v>
      </c>
      <c r="AC66" s="29">
        <f t="shared" si="3"/>
        <v>31</v>
      </c>
      <c r="AD66" s="19">
        <v>10126</v>
      </c>
      <c r="AE66" s="19">
        <v>13626</v>
      </c>
      <c r="AF66" s="19" t="s">
        <v>39</v>
      </c>
    </row>
    <row r="67" spans="1:32" ht="61.5" customHeight="1" x14ac:dyDescent="0.35">
      <c r="A67" s="1" t="str">
        <f>[1]Contratos!A67</f>
        <v>CONTRATO 66 DE 2026</v>
      </c>
      <c r="B67" s="10" t="str">
        <f>[1]Contratos!B67</f>
        <v>JVALE INGENIERIA S.A.S</v>
      </c>
      <c r="C67" s="10" t="str">
        <f>[1]Contratos!E67</f>
        <v>Mínima cuantía</v>
      </c>
      <c r="D67" s="10" t="s">
        <v>188</v>
      </c>
      <c r="E67" s="11" t="str">
        <f>[1]Contratos!F67</f>
        <v>la prestación del servicio de mantenimiento preventivo y correctivo, incluido mano de obra calificada y suministro de repuestos a todo costo originales nuevos, para la transferencia eléctrica automática de propiedad de la Comisión de Regulación de Comunicaciones., de conformidad con la Invitación Pública No. 68 de 2026 y la oferta presentada por el contratista</v>
      </c>
      <c r="F67" s="12">
        <v>1590241</v>
      </c>
      <c r="G67" s="13">
        <f>[1]Contratos!G67</f>
        <v>1240000</v>
      </c>
      <c r="H67" s="14" t="str">
        <f>IFERROR(VLOOKUP(A67, [1]Otrosí!A:F, 6, FALSE), "0")</f>
        <v>0</v>
      </c>
      <c r="I67" s="13">
        <f t="shared" ref="I67:I92" si="4">SUM(G67:H67)</f>
        <v>1240000</v>
      </c>
      <c r="J67" s="15">
        <v>1240000</v>
      </c>
      <c r="K67" s="13">
        <f t="shared" ref="K67:K92" si="5">I67-J67</f>
        <v>0</v>
      </c>
      <c r="L67" s="16">
        <f t="shared" ref="L67:L92" si="6">J67/I67</f>
        <v>1</v>
      </c>
      <c r="M67" s="17">
        <f>[1]Contratos!O67</f>
        <v>46105</v>
      </c>
      <c r="N67" s="17">
        <f>[1]Contratos!P67</f>
        <v>46118</v>
      </c>
      <c r="O67" s="17">
        <f>[1]Contratos!Q67</f>
        <v>46147</v>
      </c>
      <c r="P67" s="17" t="str">
        <f>IFERROR(VLOOKUP(A67, [1]Otrosí!A:L, 7, FALSE), "N/A")</f>
        <v>N/A</v>
      </c>
      <c r="Q67" s="18" t="s">
        <v>73</v>
      </c>
      <c r="R67" s="19" t="s">
        <v>55</v>
      </c>
      <c r="S67" s="31" t="s">
        <v>189</v>
      </c>
      <c r="T67" s="21" t="s">
        <v>36</v>
      </c>
      <c r="U67" s="10" t="str">
        <f>[1]Contratos!C67</f>
        <v>PJ</v>
      </c>
      <c r="V67" s="10" t="str">
        <f>[1]Contratos!I67</f>
        <v>GESTIÓN ADM. Y FIN</v>
      </c>
      <c r="W67" s="22" t="str">
        <f>[1]Contratos!J67</f>
        <v>LUIS JORGE GUEVARA</v>
      </c>
      <c r="X67" s="23" cm="1">
        <f t="array" ref="X67">IFERROR(VLOOKUP(W67,[1]COORD!$A$30:$B$66, 2, FALSE),[1]COORD!$B$30:$B$66)</f>
        <v>80811747</v>
      </c>
      <c r="Y67" s="24" t="s">
        <v>75</v>
      </c>
      <c r="Z67" s="25">
        <v>900810365</v>
      </c>
      <c r="AA67" s="26" cm="1">
        <f t="array" ref="AA67">IF(Y67&lt;&gt;"NIT","N/A",IF(OR(Z67="",Z67="N/A"),"N/A",IF(ISERROR(VALUE(IF(ISNUMBER(FIND("-",TEXT(Z67,"@"))),LEFT(TEXT(Z67,"@"),FIND("-",TEXT(Z67,"@"))-1),TEXT(Z67,"@")))),"N/A",IF(MOD(SUMPRODUCT(VALUE(MID(TEXT(VALUE(IF(ISNUMBER(FIND("-",TEXT(Z67,"@"))),LEFT(TEXT(Z67,"@"),FIND("-",TEXT(Z67,"@"))-1),TEXT(Z67,"@"))),"000000000000000"),{15,14,13,12,11,10,9,8,7,6,5,4,3,2,1},1)),{3,7,13,17,19,23,29,37,41,43,47,53,59,67,71}),11)=0,0,IF(MOD(SUMPRODUCT(VALUE(MID(TEXT(VALUE(IF(ISNUMBER(FIND("-",TEXT(Z67,"@"))),LEFT(TEXT(Z67,"@"),FIND("-",TEXT(Z67,"@"))-1),TEXT(Z67,"@"))),"000000000000000"),{15,14,13,12,11,10,9,8,7,6,5,4,3,2,1},1)),{3,7,13,17,19,23,29,37,41,43,47,53,59,67,71}),11)=1,1,11-MOD(SUMPRODUCT(VALUE(MID(TEXT(VALUE(IF(ISNUMBER(FIND("-",TEXT(Z67,"@"))),LEFT(TEXT(Z67,"@"),FIND("-",TEXT(Z67,"@"))-1),TEXT(Z67,"@"))),"000000000000000"),{15,14,13,12,11,10,9,8,7,6,5,4,3,2,1},1)),{3,7,13,17,19,23,29,37,41,43,47,53,59,67,71}),11))))))</f>
        <v>3</v>
      </c>
      <c r="AB67" s="26">
        <v>72154300</v>
      </c>
      <c r="AC67" s="29">
        <f>O67-M67</f>
        <v>42</v>
      </c>
      <c r="AD67" s="19">
        <v>10426</v>
      </c>
      <c r="AE67" s="19">
        <v>15626</v>
      </c>
      <c r="AF67" s="19" t="s">
        <v>39</v>
      </c>
    </row>
    <row r="68" spans="1:32" ht="61.5" customHeight="1" x14ac:dyDescent="0.35">
      <c r="A68" s="1" t="str">
        <f>[1]Contratos!A68</f>
        <v>CONTRATO 67 DE 2026 - OC 162532</v>
      </c>
      <c r="B68" s="10" t="str">
        <f>[1]Contratos!B68</f>
        <v xml:space="preserve">COMCEL S.A </v>
      </c>
      <c r="C68" s="10" t="str">
        <f>[1]Contratos!E68</f>
        <v>AMP/IAD/CGS</v>
      </c>
      <c r="D68" s="10" t="s">
        <v>190</v>
      </c>
      <c r="E68" s="11" t="str">
        <f>[1]Contratos!F68</f>
        <v>Renovar los servicios de Microsoft Azure Suscripción CSP de la Comisión de Regulación de Comunicaciones, con el fin de garantizar recursos tecnológicos que permitan asegurar la disponibilidad y operación de la infraestructura actual; así como el aprovisionamiento de nuevos servicios de computación en la nube que demande el ejercicio misional e institucional de la Entidad.</v>
      </c>
      <c r="F68" s="12">
        <v>1585036496</v>
      </c>
      <c r="G68" s="13">
        <f>[1]Contratos!G68</f>
        <v>1458418665.6900001</v>
      </c>
      <c r="H68" s="14" t="str">
        <f>IFERROR(VLOOKUP(A68, [1]Otrosí!A:F, 6, FALSE), "0")</f>
        <v>0</v>
      </c>
      <c r="I68" s="13">
        <f t="shared" si="4"/>
        <v>1458418665.6900001</v>
      </c>
      <c r="J68" s="15">
        <v>1458418665.6900001</v>
      </c>
      <c r="K68" s="13">
        <f t="shared" si="5"/>
        <v>0</v>
      </c>
      <c r="L68" s="16">
        <f t="shared" si="6"/>
        <v>1</v>
      </c>
      <c r="M68" s="17">
        <f>[1]Contratos!O68</f>
        <v>46105</v>
      </c>
      <c r="N68" s="17">
        <f>[1]Contratos!P68</f>
        <v>46106</v>
      </c>
      <c r="O68" s="17">
        <f>[1]Contratos!Q68</f>
        <v>46387</v>
      </c>
      <c r="P68" s="17" t="str">
        <f>IFERROR(VLOOKUP(A68, [1]Otrosí!A:L, 7, FALSE), "N/A")</f>
        <v>N/A</v>
      </c>
      <c r="Q68" s="18" t="s">
        <v>73</v>
      </c>
      <c r="R68" s="19" t="s">
        <v>55</v>
      </c>
      <c r="S68" s="31" t="s">
        <v>191</v>
      </c>
      <c r="T68" s="21" t="s">
        <v>36</v>
      </c>
      <c r="U68" s="10" t="str">
        <f>[1]Contratos!C68</f>
        <v>PJ</v>
      </c>
      <c r="V68" s="10" t="str">
        <f>[1]Contratos!I68</f>
        <v>TECNOLOGÍAS Y SIST. DE INF. / GESTIÓN ADM. Y FIN.</v>
      </c>
      <c r="W68" s="22" t="str">
        <f>[1]Contratos!J68</f>
        <v>EDWIN ALBERTO VARGAS</v>
      </c>
      <c r="X68" s="23" cm="1">
        <f t="array" ref="X68">IFERROR(VLOOKUP(W68,[1]COORD!$A$30:$B$66, 2, FALSE),[1]COORD!$B$30:$B$66)</f>
        <v>7173927</v>
      </c>
      <c r="Y68" s="24" t="s">
        <v>75</v>
      </c>
      <c r="Z68" s="25">
        <v>800153993</v>
      </c>
      <c r="AA68" s="26" cm="1">
        <f t="array" ref="AA68">IF(Y68&lt;&gt;"NIT","N/A",IF(OR(Z68="",Z68="N/A"),"N/A",IF(ISERROR(VALUE(IF(ISNUMBER(FIND("-",TEXT(Z68,"@"))),LEFT(TEXT(Z68,"@"),FIND("-",TEXT(Z68,"@"))-1),TEXT(Z68,"@")))),"N/A",IF(MOD(SUMPRODUCT(VALUE(MID(TEXT(VALUE(IF(ISNUMBER(FIND("-",TEXT(Z68,"@"))),LEFT(TEXT(Z68,"@"),FIND("-",TEXT(Z68,"@"))-1),TEXT(Z68,"@"))),"000000000000000"),{15,14,13,12,11,10,9,8,7,6,5,4,3,2,1},1)),{3,7,13,17,19,23,29,37,41,43,47,53,59,67,71}),11)=0,0,IF(MOD(SUMPRODUCT(VALUE(MID(TEXT(VALUE(IF(ISNUMBER(FIND("-",TEXT(Z68,"@"))),LEFT(TEXT(Z68,"@"),FIND("-",TEXT(Z68,"@"))-1),TEXT(Z68,"@"))),"000000000000000"),{15,14,13,12,11,10,9,8,7,6,5,4,3,2,1},1)),{3,7,13,17,19,23,29,37,41,43,47,53,59,67,71}),11)=1,1,11-MOD(SUMPRODUCT(VALUE(MID(TEXT(VALUE(IF(ISNUMBER(FIND("-",TEXT(Z68,"@"))),LEFT(TEXT(Z68,"@"),FIND("-",TEXT(Z68,"@"))-1),TEXT(Z68,"@"))),"000000000000000"),{15,14,13,12,11,10,9,8,7,6,5,4,3,2,1},1)),{3,7,13,17,19,23,29,37,41,43,47,53,59,67,71}),11))))))</f>
        <v>7</v>
      </c>
      <c r="AB68" s="26">
        <v>81112101</v>
      </c>
      <c r="AC68" s="29">
        <f>O68-M68</f>
        <v>282</v>
      </c>
      <c r="AD68" s="19">
        <v>10226</v>
      </c>
      <c r="AE68" s="19">
        <v>16026</v>
      </c>
      <c r="AF68" s="19" t="s">
        <v>39</v>
      </c>
    </row>
    <row r="69" spans="1:32" ht="61.5" customHeight="1" x14ac:dyDescent="0.35">
      <c r="A69" s="1" t="str">
        <f>[1]Contratos!A69</f>
        <v>CONTRATO 68 DE 2026</v>
      </c>
      <c r="B69" s="10" t="str">
        <f>[1]Contratos!B69</f>
        <v>INELMED DE COLOMBIA S.A.S</v>
      </c>
      <c r="C69" s="10" t="str">
        <f>[1]Contratos!E69</f>
        <v>Mínima cuantía</v>
      </c>
      <c r="D69" s="10" t="s">
        <v>192</v>
      </c>
      <c r="E69" s="11" t="str">
        <f>[1]Contratos!F69</f>
        <v>prestar el servicio de inspección, pruebas y mantenimiento preventivo y correctivo, con suministro de repuestos a todo costo, para el sistema de detección de incendios ubicados en la sede de la Comisión de Regulación de Comunicaciones – CRC, de acuerdo con las especificaciones técnicas descritas en el presente proceso</v>
      </c>
      <c r="F69" s="12">
        <v>18622098</v>
      </c>
      <c r="G69" s="13">
        <f>[1]Contratos!G69</f>
        <v>7587000</v>
      </c>
      <c r="H69" s="14" t="str">
        <f>IFERROR(VLOOKUP(A69, [1]Otrosí!A:F, 6, FALSE), "0")</f>
        <v>0</v>
      </c>
      <c r="I69" s="13">
        <f t="shared" si="4"/>
        <v>7587000</v>
      </c>
      <c r="J69" s="15">
        <v>3793500</v>
      </c>
      <c r="K69" s="13">
        <f t="shared" si="5"/>
        <v>3793500</v>
      </c>
      <c r="L69" s="16">
        <f t="shared" si="6"/>
        <v>0.5</v>
      </c>
      <c r="M69" s="17">
        <f>[1]Contratos!O69</f>
        <v>46126</v>
      </c>
      <c r="N69" s="17">
        <f>[1]Contratos!P69</f>
        <v>46127</v>
      </c>
      <c r="O69" s="17">
        <f>[1]Contratos!Q69</f>
        <v>46371</v>
      </c>
      <c r="P69" s="17" t="str">
        <f>IFERROR(VLOOKUP(A69, [1]Otrosí!A:L, 7, FALSE), "N/A")</f>
        <v>N/A</v>
      </c>
      <c r="Q69" s="18" t="s">
        <v>73</v>
      </c>
      <c r="R69" s="19" t="s">
        <v>55</v>
      </c>
      <c r="S69" s="31" t="s">
        <v>193</v>
      </c>
      <c r="T69" s="21" t="s">
        <v>36</v>
      </c>
      <c r="U69" s="10" t="str">
        <f>[1]Contratos!C69</f>
        <v>PJ</v>
      </c>
      <c r="V69" s="10" t="str">
        <f>[1]Contratos!I69</f>
        <v>GESTIÓN ADM. Y FIN</v>
      </c>
      <c r="W69" s="22" t="str">
        <f>[1]Contratos!J69</f>
        <v>LUIS JORGE GUEVARA</v>
      </c>
      <c r="X69" s="23" cm="1">
        <f t="array" ref="X69">IFERROR(VLOOKUP(W69,[1]COORD!$A$30:$B$66, 2, FALSE),[1]COORD!$B$30:$B$66)</f>
        <v>80811747</v>
      </c>
      <c r="Y69" s="24" t="s">
        <v>75</v>
      </c>
      <c r="Z69" s="25">
        <v>900064651</v>
      </c>
      <c r="AA69" s="26" cm="1">
        <f t="array" ref="AA69">IF(Y69&lt;&gt;"NIT","N/A",IF(OR(Z69="",Z69="N/A"),"N/A",IF(ISERROR(VALUE(IF(ISNUMBER(FIND("-",TEXT(Z69,"@"))),LEFT(TEXT(Z69,"@"),FIND("-",TEXT(Z69,"@"))-1),TEXT(Z69,"@")))),"N/A",IF(MOD(SUMPRODUCT(VALUE(MID(TEXT(VALUE(IF(ISNUMBER(FIND("-",TEXT(Z69,"@"))),LEFT(TEXT(Z69,"@"),FIND("-",TEXT(Z69,"@"))-1),TEXT(Z69,"@"))),"000000000000000"),{15,14,13,12,11,10,9,8,7,6,5,4,3,2,1},1)),{3,7,13,17,19,23,29,37,41,43,47,53,59,67,71}),11)=0,0,IF(MOD(SUMPRODUCT(VALUE(MID(TEXT(VALUE(IF(ISNUMBER(FIND("-",TEXT(Z69,"@"))),LEFT(TEXT(Z69,"@"),FIND("-",TEXT(Z69,"@"))-1),TEXT(Z69,"@"))),"000000000000000"),{15,14,13,12,11,10,9,8,7,6,5,4,3,2,1},1)),{3,7,13,17,19,23,29,37,41,43,47,53,59,67,71}),11)=1,1,11-MOD(SUMPRODUCT(VALUE(MID(TEXT(VALUE(IF(ISNUMBER(FIND("-",TEXT(Z69,"@"))),LEFT(TEXT(Z69,"@"),FIND("-",TEXT(Z69,"@"))-1),TEXT(Z69,"@"))),"000000000000000"),{15,14,13,12,11,10,9,8,7,6,5,4,3,2,1},1)),{3,7,13,17,19,23,29,37,41,43,47,53,59,67,71}),11))))))</f>
        <v>4</v>
      </c>
      <c r="AB69" s="26">
        <v>46191508</v>
      </c>
      <c r="AC69" s="29">
        <f>O69-M69</f>
        <v>245</v>
      </c>
      <c r="AD69" s="19">
        <v>10926</v>
      </c>
      <c r="AE69" s="19">
        <v>17426</v>
      </c>
      <c r="AF69" s="19" t="s">
        <v>39</v>
      </c>
    </row>
    <row r="70" spans="1:32" ht="61.5" customHeight="1" x14ac:dyDescent="0.35">
      <c r="A70" s="1" t="str">
        <f>[1]Contratos!A70</f>
        <v>CONTRATO 69 DE 2026</v>
      </c>
      <c r="B70" s="10" t="str">
        <f>[1]Contratos!B70</f>
        <v>GESTION AMBIENTAL DE COLOMBIA</v>
      </c>
      <c r="C70" s="10" t="str">
        <f>[1]Contratos!E70</f>
        <v>Mínima cuantía</v>
      </c>
      <c r="D70" s="10" t="s">
        <v>194</v>
      </c>
      <c r="E70" s="11" t="str">
        <f>[1]Contratos!F70</f>
        <v>Contratar la prestación del servicio de recolección, transporte, almacenamiento, tratamiento y/o disposición final de los residuos peligrosos incluidos RAEE, generados en la Comisión de Regulación de Comunicaciones</v>
      </c>
      <c r="F70" s="12">
        <v>466447</v>
      </c>
      <c r="G70" s="13">
        <f>[1]Contratos!G70</f>
        <v>418050</v>
      </c>
      <c r="H70" s="14" t="str">
        <f>IFERROR(VLOOKUP(A70, [1]Otrosí!A:F, 6, FALSE), "0")</f>
        <v>0</v>
      </c>
      <c r="I70" s="13">
        <f t="shared" si="4"/>
        <v>418050</v>
      </c>
      <c r="J70" s="15">
        <v>72600</v>
      </c>
      <c r="K70" s="13">
        <f t="shared" si="5"/>
        <v>345450</v>
      </c>
      <c r="L70" s="16">
        <f t="shared" si="6"/>
        <v>0.17366343738787227</v>
      </c>
      <c r="M70" s="17">
        <f>[1]Contratos!O70</f>
        <v>46132</v>
      </c>
      <c r="N70" s="17">
        <f>[1]Contratos!P70</f>
        <v>46133</v>
      </c>
      <c r="O70" s="17">
        <f>[1]Contratos!Q70</f>
        <v>46371</v>
      </c>
      <c r="P70" s="17" t="str">
        <f>IFERROR(VLOOKUP(A70, [1]Otrosí!A:L, 7, FALSE), "N/A")</f>
        <v>N/A</v>
      </c>
      <c r="Q70" s="18" t="s">
        <v>73</v>
      </c>
      <c r="R70" s="19" t="s">
        <v>55</v>
      </c>
      <c r="S70" s="31" t="s">
        <v>195</v>
      </c>
      <c r="T70" s="21" t="s">
        <v>36</v>
      </c>
      <c r="U70" s="10" t="str">
        <f>[1]Contratos!C70</f>
        <v>PJ</v>
      </c>
      <c r="V70" s="10" t="str">
        <f>[1]Contratos!I70</f>
        <v>GESTIÓN ADM. Y FIN</v>
      </c>
      <c r="W70" s="22" t="str">
        <f>[1]Contratos!J70</f>
        <v>LUIS JORGE GUEVARA</v>
      </c>
      <c r="X70" s="23" cm="1">
        <f t="array" ref="X70">IFERROR(VLOOKUP(W70,[1]COORD!$A$30:$B$66, 2, FALSE),[1]COORD!$B$30:$B$66)</f>
        <v>80811747</v>
      </c>
      <c r="Y70" s="24" t="s">
        <v>75</v>
      </c>
      <c r="Z70" s="25">
        <v>900744149</v>
      </c>
      <c r="AA70" s="26" cm="1">
        <f t="array" ref="AA70">IF(Y70&lt;&gt;"NIT","N/A",IF(OR(Z70="",Z70="N/A"),"N/A",IF(ISERROR(VALUE(IF(ISNUMBER(FIND("-",TEXT(Z70,"@"))),LEFT(TEXT(Z70,"@"),FIND("-",TEXT(Z70,"@"))-1),TEXT(Z70,"@")))),"N/A",IF(MOD(SUMPRODUCT(VALUE(MID(TEXT(VALUE(IF(ISNUMBER(FIND("-",TEXT(Z70,"@"))),LEFT(TEXT(Z70,"@"),FIND("-",TEXT(Z70,"@"))-1),TEXT(Z70,"@"))),"000000000000000"),{15,14,13,12,11,10,9,8,7,6,5,4,3,2,1},1)),{3,7,13,17,19,23,29,37,41,43,47,53,59,67,71}),11)=0,0,IF(MOD(SUMPRODUCT(VALUE(MID(TEXT(VALUE(IF(ISNUMBER(FIND("-",TEXT(Z70,"@"))),LEFT(TEXT(Z70,"@"),FIND("-",TEXT(Z70,"@"))-1),TEXT(Z70,"@"))),"000000000000000"),{15,14,13,12,11,10,9,8,7,6,5,4,3,2,1},1)),{3,7,13,17,19,23,29,37,41,43,47,53,59,67,71}),11)=1,1,11-MOD(SUMPRODUCT(VALUE(MID(TEXT(VALUE(IF(ISNUMBER(FIND("-",TEXT(Z70,"@"))),LEFT(TEXT(Z70,"@"),FIND("-",TEXT(Z70,"@"))-1),TEXT(Z70,"@"))),"000000000000000"),{15,14,13,12,11,10,9,8,7,6,5,4,3,2,1},1)),{3,7,13,17,19,23,29,37,41,43,47,53,59,67,71}),11))))))</f>
        <v>6</v>
      </c>
      <c r="AB70" s="26">
        <v>76121900</v>
      </c>
      <c r="AC70" s="29">
        <f>O70-M70</f>
        <v>239</v>
      </c>
      <c r="AD70" s="19">
        <v>11026</v>
      </c>
      <c r="AE70" s="19">
        <v>18226</v>
      </c>
      <c r="AF70" s="19" t="s">
        <v>39</v>
      </c>
    </row>
    <row r="71" spans="1:32" ht="61.5" customHeight="1" x14ac:dyDescent="0.35">
      <c r="A71" s="1" t="str">
        <f>[1]Contratos!A71</f>
        <v>CONTRATO 70 DE 2026</v>
      </c>
      <c r="B71" s="10" t="str">
        <f>[1]Contratos!B71</f>
        <v>S.L.A. &amp; MEDIOS SAS</v>
      </c>
      <c r="C71" s="10" t="str">
        <f>[1]Contratos!E71</f>
        <v>Mínima cuantía</v>
      </c>
      <c r="D71" s="10" t="s">
        <v>196</v>
      </c>
      <c r="E71" s="11" t="str">
        <f>[1]Contratos!F71</f>
        <v>Adquirir la impresión y suministro de veinticinco (25) carnets, para la identificación de los funcionarios de planta de la Comisión de Regulación de Comunicaciones.</v>
      </c>
      <c r="F71" s="12">
        <v>346625</v>
      </c>
      <c r="G71" s="13">
        <f>[1]Contratos!G71</f>
        <v>270000</v>
      </c>
      <c r="H71" s="14" t="str">
        <f>IFERROR(VLOOKUP(A71, [1]Otrosí!A:F, 6, FALSE), "0")</f>
        <v>0</v>
      </c>
      <c r="I71" s="13">
        <f t="shared" si="4"/>
        <v>270000</v>
      </c>
      <c r="J71" s="15">
        <v>118800</v>
      </c>
      <c r="K71" s="13">
        <f t="shared" si="5"/>
        <v>151200</v>
      </c>
      <c r="L71" s="16">
        <f t="shared" si="6"/>
        <v>0.44</v>
      </c>
      <c r="M71" s="17">
        <f>[1]Contratos!O71</f>
        <v>46133</v>
      </c>
      <c r="N71" s="17">
        <f>[1]Contratos!P71</f>
        <v>46142</v>
      </c>
      <c r="O71" s="17">
        <f>[1]Contratos!Q71</f>
        <v>46371</v>
      </c>
      <c r="P71" s="17" t="str">
        <f>IFERROR(VLOOKUP(A71, [1]Otrosí!A:L, 7, FALSE), "N/A")</f>
        <v>N/A</v>
      </c>
      <c r="Q71" s="18" t="s">
        <v>170</v>
      </c>
      <c r="R71" s="19" t="s">
        <v>55</v>
      </c>
      <c r="S71" s="31" t="s">
        <v>197</v>
      </c>
      <c r="T71" s="21" t="s">
        <v>36</v>
      </c>
      <c r="U71" s="10" t="str">
        <f>[1]Contratos!C71</f>
        <v>PJ</v>
      </c>
      <c r="V71" s="10" t="str">
        <f>[1]Contratos!I71</f>
        <v>GESTIÓN ADM. Y FIN</v>
      </c>
      <c r="W71" s="22" t="str">
        <f>[1]Contratos!J71</f>
        <v>CLAUDIA PALACIO</v>
      </c>
      <c r="X71" s="23" cm="1">
        <f t="array" ref="X71">IFERROR(VLOOKUP(W71,[1]COORD!$A$30:$B$66, 2, FALSE),[1]COORD!$B$30:$B$66)</f>
        <v>30322559</v>
      </c>
      <c r="Y71" s="24" t="s">
        <v>75</v>
      </c>
      <c r="Z71" s="25">
        <v>901999408</v>
      </c>
      <c r="AA71" s="26" cm="1">
        <f t="array" ref="AA71">IF(OR(Z71="",Z71="N/A"),"N/A",IF(ISERROR(VALUE(IF(ISNUMBER(FIND("-",TEXT(Z71,"@"))),LEFT(TEXT(Z71,"@"),FIND("-",TEXT(Z71,"@"))-1),TEXT(Z71,"@")))),"N/A",IF(MOD(SUMPRODUCT(VALUE(MID(TEXT(VALUE(IF(ISNUMBER(FIND("-",TEXT(Z71,"@"))),LEFT(TEXT(Z71,"@"),FIND("-",TEXT(Z71,"@"))-1),TEXT(Z71,"@"))),"000000000000000"),{15,14,13,12,11,10,9,8,7,6,5,4,3,2,1},1)),{3,7,13,17,19,23,29,37,41,43,47,53,59,67,71}),11)=0,0,IF(MOD(SUMPRODUCT(VALUE(MID(TEXT(VALUE(IF(ISNUMBER(FIND("-",TEXT(Z71,"@"))),LEFT(TEXT(Z71,"@"),FIND("-",TEXT(Z71,"@"))-1),TEXT(Z71,"@"))),"000000000000000"),{15,14,13,12,11,10,9,8,7,6,5,4,3,2,1},1)),{3,7,13,17,19,23,29,37,41,43,47,53,59,67,71}),11)=1,1,11-MOD(SUMPRODUCT(VALUE(MID(TEXT(VALUE(IF(ISNUMBER(FIND("-",TEXT(Z71,"@"))),LEFT(TEXT(Z71,"@"),FIND("-",TEXT(Z71,"@"))-1),TEXT(Z71,"@"))),"000000000000000"),{15,14,13,12,11,10,9,8,7,6,5,4,3,2,1},1)),{3,7,13,17,19,23,29,37,41,43,47,53,59,67,71}),11)))))</f>
        <v>7</v>
      </c>
      <c r="AB71" s="26">
        <v>82121500</v>
      </c>
      <c r="AC71" s="29">
        <f>O71-M71</f>
        <v>238</v>
      </c>
      <c r="AD71" s="19">
        <v>11126</v>
      </c>
      <c r="AE71" s="19">
        <v>18326</v>
      </c>
      <c r="AF71" s="19" t="s">
        <v>39</v>
      </c>
    </row>
    <row r="72" spans="1:32" ht="61.5" customHeight="1" x14ac:dyDescent="0.35">
      <c r="A72" s="1" t="str">
        <f>[1]Contratos!A72</f>
        <v>CONTRATO 71 DE 2026 -  OC 163478</v>
      </c>
      <c r="B72" s="10" t="str">
        <f>[1]Contratos!B72</f>
        <v>CONSORCIO ROYAL-SOLTELCO</v>
      </c>
      <c r="C72" s="10" t="str">
        <f>[1]Contratos!E72</f>
        <v>AMP/IAD/CGS</v>
      </c>
      <c r="D72" s="10" t="s">
        <v>198</v>
      </c>
      <c r="E72" s="11" t="str">
        <f>[1]Contratos!F72</f>
        <v>Renovar y adquirir, por un (1) añolas suscripciones de productos Microsoftrequeridas por la Comisión de Regulación deComunicaciones, bajo el esquema delicenciamiento CSP, con el fin de garantizar lacontinuidad de los servicios de colaboración,productividad, analítica de datos y seguridad quesoportan las funciones de la Entidad</v>
      </c>
      <c r="F72" s="12">
        <v>441833840</v>
      </c>
      <c r="G72" s="13">
        <f>[1]Contratos!G72</f>
        <v>310475316</v>
      </c>
      <c r="H72" s="14" t="str">
        <f>IFERROR(VLOOKUP(A72, [1]Otrosí!A:F, 6, FALSE), "0")</f>
        <v>0</v>
      </c>
      <c r="I72" s="13">
        <f t="shared" si="4"/>
        <v>310475316</v>
      </c>
      <c r="J72" s="15">
        <v>310475316</v>
      </c>
      <c r="K72" s="13">
        <f t="shared" si="5"/>
        <v>0</v>
      </c>
      <c r="L72" s="16">
        <f t="shared" si="6"/>
        <v>1</v>
      </c>
      <c r="M72" s="17">
        <f>[1]Contratos!O72</f>
        <v>46129</v>
      </c>
      <c r="N72" s="17">
        <f>[1]Contratos!P72</f>
        <v>46141</v>
      </c>
      <c r="O72" s="17">
        <f>[1]Contratos!Q72</f>
        <v>46505</v>
      </c>
      <c r="P72" s="17" t="str">
        <f>IFERROR(VLOOKUP(A72, [1]Otrosí!A:L, 7, FALSE), "N/A")</f>
        <v>N/A</v>
      </c>
      <c r="Q72" s="18" t="s">
        <v>73</v>
      </c>
      <c r="R72" s="19" t="s">
        <v>34</v>
      </c>
      <c r="S72" s="31" t="s">
        <v>199</v>
      </c>
      <c r="T72" s="21" t="s">
        <v>36</v>
      </c>
      <c r="U72" s="10" t="str">
        <f>[1]Contratos!C72</f>
        <v>PJ</v>
      </c>
      <c r="V72" s="10" t="str">
        <f>[1]Contratos!I72</f>
        <v>TECNOLOGÍAS Y SIST. DE INF.</v>
      </c>
      <c r="W72" s="22" t="str">
        <f>[1]Contratos!J72</f>
        <v>EDWIN ALBERTO VARGAS</v>
      </c>
      <c r="X72" s="23" cm="1">
        <f t="array" ref="X72">IFERROR(VLOOKUP(W72,[1]COORD!$A$30:$B$66, 2, FALSE),[1]COORD!$B$30:$B$66)</f>
        <v>7173927</v>
      </c>
      <c r="Y72" s="24" t="s">
        <v>75</v>
      </c>
      <c r="Z72" s="25">
        <v>901898179</v>
      </c>
      <c r="AA72" s="26" cm="1">
        <f t="array" ref="AA72">IF(OR(Z72="",Z72="N/A"),"N/A",IF(ISERROR(VALUE(IF(ISNUMBER(FIND("-",TEXT(Z72,"@"))),LEFT(TEXT(Z72,"@"),FIND("-",TEXT(Z72,"@"))-1),TEXT(Z72,"@")))),"N/A",IF(MOD(SUMPRODUCT(VALUE(MID(TEXT(VALUE(IF(ISNUMBER(FIND("-",TEXT(Z72,"@"))),LEFT(TEXT(Z72,"@"),FIND("-",TEXT(Z72,"@"))-1),TEXT(Z72,"@"))),"000000000000000"),{15,14,13,12,11,10,9,8,7,6,5,4,3,2,1},1)),{3,7,13,17,19,23,29,37,41,43,47,53,59,67,71}),11)=0,0,IF(MOD(SUMPRODUCT(VALUE(MID(TEXT(VALUE(IF(ISNUMBER(FIND("-",TEXT(Z72,"@"))),LEFT(TEXT(Z72,"@"),FIND("-",TEXT(Z72,"@"))-1),TEXT(Z72,"@"))),"000000000000000"),{15,14,13,12,11,10,9,8,7,6,5,4,3,2,1},1)),{3,7,13,17,19,23,29,37,41,43,47,53,59,67,71}),11)=1,1,11-MOD(SUMPRODUCT(VALUE(MID(TEXT(VALUE(IF(ISNUMBER(FIND("-",TEXT(Z72,"@"))),LEFT(TEXT(Z72,"@"),FIND("-",TEXT(Z72,"@"))-1),TEXT(Z72,"@"))),"000000000000000"),{15,14,13,12,11,10,9,8,7,6,5,4,3,2,1},1)),{3,7,13,17,19,23,29,37,41,43,47,53,59,67,71}),11)))))</f>
        <v>1</v>
      </c>
      <c r="AB72" s="26">
        <v>81112501</v>
      </c>
      <c r="AC72" s="29">
        <f>O72-M72</f>
        <v>376</v>
      </c>
      <c r="AD72" s="19">
        <v>11426</v>
      </c>
      <c r="AE72" s="19">
        <v>18126</v>
      </c>
      <c r="AF72" s="19" t="s">
        <v>39</v>
      </c>
    </row>
    <row r="73" spans="1:32" ht="61.5" customHeight="1" x14ac:dyDescent="0.35">
      <c r="A73" s="1" t="str">
        <f>[1]Contratos!A73</f>
        <v>CONTRATO 72 DE 2026</v>
      </c>
      <c r="B73" s="10" t="str">
        <f>[1]Contratos!B73</f>
        <v>IMAGROUP SAS</v>
      </c>
      <c r="C73" s="10" t="str">
        <f>[1]Contratos!E73</f>
        <v>Licitación Pública</v>
      </c>
      <c r="D73" s="10" t="s">
        <v>200</v>
      </c>
      <c r="E73" s="11" t="str">
        <f>[1]Contratos!F73</f>
        <v>Prestación integral de servicios como operador logístico para la planeación, organización, operación y ejecución de eventos institucionales, tanto presenciales como, híbridos y virtuales, necesarios para el cumplimiento de las funciones asignadas a la Comisión de Regulación de Comunicaciones (CRC) durante el año 2026.</v>
      </c>
      <c r="F73" s="12">
        <v>1200000000</v>
      </c>
      <c r="G73" s="13">
        <f>[1]Contratos!G73</f>
        <v>1200000000</v>
      </c>
      <c r="H73" s="14" t="str">
        <f>IFERROR(VLOOKUP(A73, [1]Otrosí!A:F, 6, FALSE), "0")</f>
        <v>0</v>
      </c>
      <c r="I73" s="13">
        <f t="shared" si="4"/>
        <v>1200000000</v>
      </c>
      <c r="J73" s="15">
        <v>40188187</v>
      </c>
      <c r="K73" s="13">
        <f t="shared" si="5"/>
        <v>1159811813</v>
      </c>
      <c r="L73" s="16">
        <f t="shared" si="6"/>
        <v>3.3490155833333334E-2</v>
      </c>
      <c r="M73" s="17">
        <f>[1]Contratos!O73</f>
        <v>46148</v>
      </c>
      <c r="N73" s="17">
        <f>[1]Contratos!P73</f>
        <v>46150</v>
      </c>
      <c r="O73" s="17">
        <f>[1]Contratos!Q73</f>
        <v>46374</v>
      </c>
      <c r="P73" s="17" t="str">
        <f>IFERROR(VLOOKUP(A73, [1]Otrosí!A:L, 7, FALSE), "N/A")</f>
        <v>N/A</v>
      </c>
      <c r="Q73" s="18" t="s">
        <v>73</v>
      </c>
      <c r="R73" s="19" t="s">
        <v>55</v>
      </c>
      <c r="S73" s="31" t="s">
        <v>201</v>
      </c>
      <c r="T73" s="21" t="s">
        <v>36</v>
      </c>
      <c r="U73" s="10" t="str">
        <f>[1]Contratos!C73</f>
        <v>PJ</v>
      </c>
      <c r="V73" s="10" t="str">
        <f>[1]Contratos!I73</f>
        <v>RELACIONES CON GRUPOS DE VALOR</v>
      </c>
      <c r="W73" s="22" t="str">
        <f>[1]Contratos!J73</f>
        <v>MARIANA SARMIENTO</v>
      </c>
      <c r="X73" s="23" cm="1">
        <f t="array" ref="X73">IFERROR(VLOOKUP(W73,[1]COORD!$A$30:$B$66, 2, FALSE),[1]COORD!$B$30:$B$66)</f>
        <v>52862292</v>
      </c>
      <c r="Y73" s="24" t="s">
        <v>75</v>
      </c>
      <c r="Z73" s="25">
        <v>900075108</v>
      </c>
      <c r="AA73" s="26" cm="1">
        <f t="array" ref="AA73">IF(OR(Z73="",Z73="N/A"),"N/A",IF(ISERROR(VALUE(IF(ISNUMBER(FIND("-",TEXT(Z73,"@"))),LEFT(TEXT(Z73,"@"),FIND("-",TEXT(Z73,"@"))-1),TEXT(Z73,"@")))),"N/A",IF(MOD(SUMPRODUCT(VALUE(MID(TEXT(VALUE(IF(ISNUMBER(FIND("-",TEXT(Z73,"@"))),LEFT(TEXT(Z73,"@"),FIND("-",TEXT(Z73,"@"))-1),TEXT(Z73,"@"))),"000000000000000"),{15,14,13,12,11,10,9,8,7,6,5,4,3,2,1},1)),{3,7,13,17,19,23,29,37,41,43,47,53,59,67,71}),11)=0,0,IF(MOD(SUMPRODUCT(VALUE(MID(TEXT(VALUE(IF(ISNUMBER(FIND("-",TEXT(Z73,"@"))),LEFT(TEXT(Z73,"@"),FIND("-",TEXT(Z73,"@"))-1),TEXT(Z73,"@"))),"000000000000000"),{15,14,13,12,11,10,9,8,7,6,5,4,3,2,1},1)),{3,7,13,17,19,23,29,37,41,43,47,53,59,67,71}),11)=1,1,11-MOD(SUMPRODUCT(VALUE(MID(TEXT(VALUE(IF(ISNUMBER(FIND("-",TEXT(Z73,"@"))),LEFT(TEXT(Z73,"@"),FIND("-",TEXT(Z73,"@"))-1),TEXT(Z73,"@"))),"000000000000000"),{15,14,13,12,11,10,9,8,7,6,5,4,3,2,1},1)),{3,7,13,17,19,23,29,37,41,43,47,53,59,67,71}),11)))))</f>
        <v>3</v>
      </c>
      <c r="AB73" s="26">
        <v>80141607</v>
      </c>
      <c r="AC73" s="29">
        <f>O73-M73</f>
        <v>226</v>
      </c>
      <c r="AD73" s="19">
        <v>8926</v>
      </c>
      <c r="AE73" s="19">
        <v>19026</v>
      </c>
      <c r="AF73" s="19" t="s">
        <v>39</v>
      </c>
    </row>
    <row r="74" spans="1:32" ht="61.5" customHeight="1" x14ac:dyDescent="0.35">
      <c r="A74" s="1" t="str">
        <f>[1]Contratos!A74</f>
        <v>CONTRATO 73 DE 2026</v>
      </c>
      <c r="B74" s="10" t="str">
        <f>[1]Contratos!B74</f>
        <v>BRANDSTRAT BIC SAS</v>
      </c>
      <c r="C74" s="10" t="str">
        <f>[1]Contratos!E74</f>
        <v>Concurso de méritos</v>
      </c>
      <c r="D74" s="10" t="s">
        <v>202</v>
      </c>
      <c r="E74" s="11" t="str">
        <f>[1]Contratos!F74</f>
        <v>EL CONTRATISTA se obliga con LA COMISIÓN a prestar los servicios de consultoría especializada para el diseño metodológico, desarrollo y entrega de los estudios denominados «El rol de los servicios OTT en el sector de las comunicaciones» y «Medición de percepción de calidad de los servicios de comunicaciones», incluyendo el análisis técnico, económico y regulatorio correspondiente, así como la formulación de recomendaciones orientadas al fortalecimiento de la prospectiva sectorial, para avanzar hacia una regulación anticipatoria, capaz de adaptarse a los cambios tecnológicos y de mercado.</v>
      </c>
      <c r="F74" s="12">
        <v>1316887515</v>
      </c>
      <c r="G74" s="13">
        <f>[1]Contratos!G74</f>
        <v>1316887500</v>
      </c>
      <c r="H74" s="14" t="str">
        <f>IFERROR(VLOOKUP(A74, [1]Otrosí!A:F, 6, FALSE), "0")</f>
        <v>0</v>
      </c>
      <c r="I74" s="13">
        <f t="shared" si="4"/>
        <v>1316887500</v>
      </c>
      <c r="J74" s="15">
        <v>0</v>
      </c>
      <c r="K74" s="13">
        <f t="shared" si="5"/>
        <v>1316887500</v>
      </c>
      <c r="L74" s="16">
        <f t="shared" si="6"/>
        <v>0</v>
      </c>
      <c r="M74" s="17">
        <f>[1]Contratos!O74</f>
        <v>46164</v>
      </c>
      <c r="N74" s="17">
        <f>[1]Contratos!P74</f>
        <v>46171</v>
      </c>
      <c r="O74" s="17">
        <f>[1]Contratos!Q74</f>
        <v>46367</v>
      </c>
      <c r="P74" s="17" t="str">
        <f>IFERROR(VLOOKUP(A74, [1]Otrosí!A:L, 7, FALSE), "N/A")</f>
        <v>N/A</v>
      </c>
      <c r="Q74" s="18" t="s">
        <v>73</v>
      </c>
      <c r="R74" s="19" t="s">
        <v>55</v>
      </c>
      <c r="S74" s="31" t="s">
        <v>203</v>
      </c>
      <c r="T74" s="21" t="s">
        <v>36</v>
      </c>
      <c r="U74" s="10" t="str">
        <f>[1]Contratos!C74</f>
        <v>PJ</v>
      </c>
      <c r="V74" s="10" t="str">
        <f>[1]Contratos!I74</f>
        <v>PROSPECTIVA ESTRATÉGICA</v>
      </c>
      <c r="W74" s="22" t="str">
        <f>[1]Contratos!J74</f>
        <v>VICTOR BALDRICH</v>
      </c>
      <c r="X74" s="23" cm="1">
        <f t="array" ref="X74">IFERROR(VLOOKUP(W74,[1]COORD!$A$30:$B$66, 2, FALSE),[1]COORD!$B$30:$B$66)</f>
        <v>1019105701</v>
      </c>
      <c r="Y74" s="24" t="s">
        <v>75</v>
      </c>
      <c r="Z74" s="25">
        <v>830100700</v>
      </c>
      <c r="AA74" s="26" cm="1">
        <f t="array" ref="AA74">IF(OR(Z74="",Z74="N/A"),"N/A",IF(ISERROR(VALUE(IF(ISNUMBER(FIND("-",TEXT(Z74,"@"))),LEFT(TEXT(Z74,"@"),FIND("-",TEXT(Z74,"@"))-1),TEXT(Z74,"@")))),"N/A",IF(MOD(SUMPRODUCT(VALUE(MID(TEXT(VALUE(IF(ISNUMBER(FIND("-",TEXT(Z74,"@"))),LEFT(TEXT(Z74,"@"),FIND("-",TEXT(Z74,"@"))-1),TEXT(Z74,"@"))),"000000000000000"),{15,14,13,12,11,10,9,8,7,6,5,4,3,2,1},1)),{3,7,13,17,19,23,29,37,41,43,47,53,59,67,71}),11)=0,0,IF(MOD(SUMPRODUCT(VALUE(MID(TEXT(VALUE(IF(ISNUMBER(FIND("-",TEXT(Z74,"@"))),LEFT(TEXT(Z74,"@"),FIND("-",TEXT(Z74,"@"))-1),TEXT(Z74,"@"))),"000000000000000"),{15,14,13,12,11,10,9,8,7,6,5,4,3,2,1},1)),{3,7,13,17,19,23,29,37,41,43,47,53,59,67,71}),11)=1,1,11-MOD(SUMPRODUCT(VALUE(MID(TEXT(VALUE(IF(ISNUMBER(FIND("-",TEXT(Z74,"@"))),LEFT(TEXT(Z74,"@"),FIND("-",TEXT(Z74,"@"))-1),TEXT(Z74,"@"))),"000000000000000"),{15,14,13,12,11,10,9,8,7,6,5,4,3,2,1},1)),{3,7,13,17,19,23,29,37,41,43,47,53,59,67,71}),11)))))</f>
        <v>8</v>
      </c>
      <c r="AB74" s="26">
        <v>81112002</v>
      </c>
      <c r="AC74" s="29">
        <f>O74-M74</f>
        <v>203</v>
      </c>
      <c r="AD74" s="19">
        <v>10826</v>
      </c>
      <c r="AE74" s="19">
        <v>21126</v>
      </c>
      <c r="AF74" s="19" t="s">
        <v>39</v>
      </c>
    </row>
    <row r="75" spans="1:32" ht="61.5" customHeight="1" x14ac:dyDescent="0.35">
      <c r="A75" s="1" t="str">
        <f>[1]Contratos!A75</f>
        <v>CONTRATO 74 DE 2026</v>
      </c>
      <c r="B75" s="10" t="str">
        <f>[1]Contratos!B75</f>
        <v>INFORMETRICS S.A.S BIC</v>
      </c>
      <c r="C75" s="10" t="str">
        <f>[1]Contratos!E75</f>
        <v>Concurso de méritos</v>
      </c>
      <c r="D75" s="10" t="s">
        <v>204</v>
      </c>
      <c r="E75" s="11" t="str">
        <f>[1]Contratos!F75</f>
        <v>EL CONTRATISTA se obliga con LA COMISIÓN a prestar los servicios de consultoría para el diseño y la realización de ejercicios de sicología del consumidor y economía del comportamiento respecto a usuarios de los servicios de comunicaciones fijas y móviles, con el propósito de identificar sus motivaciones, percepciones y expectativas frente a diferentes aspectos relacionados con la decisión de compra, las condiciones de contratación de los servicios y la atención de los operadores por medio de los canales existentes.</v>
      </c>
      <c r="F75" s="12">
        <v>516514336</v>
      </c>
      <c r="G75" s="13">
        <f>[1]Contratos!G75</f>
        <v>516514336</v>
      </c>
      <c r="H75" s="14" t="str">
        <f>IFERROR(VLOOKUP(A75, [1]Otrosí!A:F, 6, FALSE), "0")</f>
        <v>0</v>
      </c>
      <c r="I75" s="13">
        <f t="shared" si="4"/>
        <v>516514336</v>
      </c>
      <c r="J75" s="15">
        <v>0</v>
      </c>
      <c r="K75" s="13">
        <f t="shared" si="5"/>
        <v>516514336</v>
      </c>
      <c r="L75" s="16">
        <f t="shared" si="6"/>
        <v>0</v>
      </c>
      <c r="M75" s="17">
        <f>[1]Contratos!O75</f>
        <v>46174</v>
      </c>
      <c r="N75" s="17">
        <f>[1]Contratos!P75</f>
        <v>46177</v>
      </c>
      <c r="O75" s="17">
        <f>[1]Contratos!Q75</f>
        <v>46329</v>
      </c>
      <c r="P75" s="17" t="str">
        <f>IFERROR(VLOOKUP(A75, [1]Otrosí!A:L, 7, FALSE), "N/A")</f>
        <v>N/A</v>
      </c>
      <c r="Q75" s="18" t="s">
        <v>205</v>
      </c>
      <c r="R75" s="19" t="s">
        <v>34</v>
      </c>
      <c r="S75" s="31" t="s">
        <v>206</v>
      </c>
      <c r="T75" s="21" t="s">
        <v>36</v>
      </c>
      <c r="U75" s="10" t="str">
        <f>[1]Contratos!C75</f>
        <v>PJ</v>
      </c>
      <c r="V75" s="10" t="str">
        <f>[1]Contratos!I75</f>
        <v>DISEÑO REGULATORIO</v>
      </c>
      <c r="W75" s="22" t="str">
        <f>[1]Contratos!J75</f>
        <v>ALEJANDRA ARENAS</v>
      </c>
      <c r="X75" s="23" cm="1">
        <f t="array" ref="X75">IFERROR(VLOOKUP(W75,[1]COORD!$A$30:$B$66, 2, FALSE),[1]COORD!$B$30:$B$66)</f>
        <v>1020749984</v>
      </c>
      <c r="Y75" s="24" t="s">
        <v>75</v>
      </c>
      <c r="Z75" s="25">
        <v>901359468</v>
      </c>
      <c r="AA75" s="26" cm="1">
        <f t="array" ref="AA75">IF(OR(Z75="",Z75="N/A"),"N/A",IF(ISERROR(VALUE(IF(ISNUMBER(FIND("-",TEXT(Z75,"@"))),LEFT(TEXT(Z75,"@"),FIND("-",TEXT(Z75,"@"))-1),TEXT(Z75,"@")))),"N/A",IF(MOD(SUMPRODUCT(VALUE(MID(TEXT(VALUE(IF(ISNUMBER(FIND("-",TEXT(Z75,"@"))),LEFT(TEXT(Z75,"@"),FIND("-",TEXT(Z75,"@"))-1),TEXT(Z75,"@"))),"000000000000000"),{15,14,13,12,11,10,9,8,7,6,5,4,3,2,1},1)),{3,7,13,17,19,23,29,37,41,43,47,53,59,67,71}),11)=0,0,IF(MOD(SUMPRODUCT(VALUE(MID(TEXT(VALUE(IF(ISNUMBER(FIND("-",TEXT(Z75,"@"))),LEFT(TEXT(Z75,"@"),FIND("-",TEXT(Z75,"@"))-1),TEXT(Z75,"@"))),"000000000000000"),{15,14,13,12,11,10,9,8,7,6,5,4,3,2,1},1)),{3,7,13,17,19,23,29,37,41,43,47,53,59,67,71}),11)=1,1,11-MOD(SUMPRODUCT(VALUE(MID(TEXT(VALUE(IF(ISNUMBER(FIND("-",TEXT(Z75,"@"))),LEFT(TEXT(Z75,"@"),FIND("-",TEXT(Z75,"@"))-1),TEXT(Z75,"@"))),"000000000000000"),{15,14,13,12,11,10,9,8,7,6,5,4,3,2,1},1)),{3,7,13,17,19,23,29,37,41,43,47,53,59,67,71}),11)))))</f>
        <v>3</v>
      </c>
      <c r="AB75" s="26">
        <v>80141501</v>
      </c>
      <c r="AC75" s="29">
        <f>O75-M75</f>
        <v>155</v>
      </c>
      <c r="AD75" s="19">
        <v>10626</v>
      </c>
      <c r="AE75" s="19">
        <v>22226</v>
      </c>
      <c r="AF75" s="19" t="s">
        <v>39</v>
      </c>
    </row>
    <row r="76" spans="1:32" ht="61.5" customHeight="1" x14ac:dyDescent="0.35">
      <c r="A76" s="1" t="str">
        <f>[1]Contratos!A76</f>
        <v>CONTRATO 75 DE 2026</v>
      </c>
      <c r="B76" s="10" t="str">
        <f>[1]Contratos!B76</f>
        <v>VERDE ECOLÓGICO S.A.S.</v>
      </c>
      <c r="C76" s="10" t="str">
        <f>[1]Contratos!E76</f>
        <v>Mínima cuantía</v>
      </c>
      <c r="D76" s="10" t="s">
        <v>207</v>
      </c>
      <c r="E76" s="11" t="str">
        <f>[1]Contratos!F76</f>
        <v>Contratar el suministro de elementos de ferretería, materiales de construcción, herramientas y demás bienes de ferretería afines, que son requeridos para desarrollar las actividades de mantenimiento preventivo y correctivo locativo y de muebles de la Comisión de Regulación de Comunicaciones - CRC</v>
      </c>
      <c r="F76" s="12">
        <v>3536548</v>
      </c>
      <c r="G76" s="13">
        <f>[1]Contratos!G76</f>
        <v>2957020</v>
      </c>
      <c r="H76" s="14" t="str">
        <f>IFERROR(VLOOKUP(A76, [1]Otrosí!A:F, 6, FALSE), "0")</f>
        <v>0</v>
      </c>
      <c r="I76" s="13">
        <f t="shared" si="4"/>
        <v>2957020</v>
      </c>
      <c r="J76" s="15">
        <v>0</v>
      </c>
      <c r="K76" s="13">
        <f t="shared" si="5"/>
        <v>2957020</v>
      </c>
      <c r="L76" s="16">
        <f t="shared" si="6"/>
        <v>0</v>
      </c>
      <c r="M76" s="17">
        <f>[1]Contratos!O76</f>
        <v>46198</v>
      </c>
      <c r="N76" s="17">
        <f>[1]Contratos!P76</f>
        <v>46205</v>
      </c>
      <c r="O76" s="17">
        <f>[1]Contratos!Q76</f>
        <v>46341</v>
      </c>
      <c r="P76" s="17" t="str">
        <f>IFERROR(VLOOKUP(A76, [1]Otrosí!A:L, 7, FALSE), "N/A")</f>
        <v>N/A</v>
      </c>
      <c r="Q76" s="18" t="s">
        <v>170</v>
      </c>
      <c r="R76" s="19" t="s">
        <v>55</v>
      </c>
      <c r="S76" s="31" t="s">
        <v>208</v>
      </c>
      <c r="T76" s="21" t="s">
        <v>36</v>
      </c>
      <c r="U76" s="10" t="str">
        <f>[1]Contratos!C76</f>
        <v>PJ</v>
      </c>
      <c r="V76" s="10" t="str">
        <f>[1]Contratos!I76</f>
        <v>GESTIÓN ADM. Y FIN</v>
      </c>
      <c r="W76" s="22" t="str">
        <f>[1]Contratos!J76</f>
        <v>LUIS JORGE GUEVARA</v>
      </c>
      <c r="X76" s="23" cm="1">
        <f t="array" ref="X76">IFERROR(VLOOKUP(W76,[1]COORD!$A$30:$B$66, 2, FALSE),[1]COORD!$B$30:$B$66)</f>
        <v>80811747</v>
      </c>
      <c r="Y76" s="24" t="s">
        <v>75</v>
      </c>
      <c r="Z76" s="25">
        <v>900520676</v>
      </c>
      <c r="AA76" s="26" cm="1">
        <f t="array" ref="AA76">IF(OR(Z76="",Z76="N/A"),"N/A",IF(ISERROR(VALUE(IF(ISNUMBER(FIND("-",TEXT(Z76,"@"))),LEFT(TEXT(Z76,"@"),FIND("-",TEXT(Z76,"@"))-1),TEXT(Z76,"@")))),"N/A",IF(MOD(SUMPRODUCT(VALUE(MID(TEXT(VALUE(IF(ISNUMBER(FIND("-",TEXT(Z76,"@"))),LEFT(TEXT(Z76,"@"),FIND("-",TEXT(Z76,"@"))-1),TEXT(Z76,"@"))),"000000000000000"),{15,14,13,12,11,10,9,8,7,6,5,4,3,2,1},1)),{3,7,13,17,19,23,29,37,41,43,47,53,59,67,71}),11)=0,0,IF(MOD(SUMPRODUCT(VALUE(MID(TEXT(VALUE(IF(ISNUMBER(FIND("-",TEXT(Z76,"@"))),LEFT(TEXT(Z76,"@"),FIND("-",TEXT(Z76,"@"))-1),TEXT(Z76,"@"))),"000000000000000"),{15,14,13,12,11,10,9,8,7,6,5,4,3,2,1},1)),{3,7,13,17,19,23,29,37,41,43,47,53,59,67,71}),11)=1,1,11-MOD(SUMPRODUCT(VALUE(MID(TEXT(VALUE(IF(ISNUMBER(FIND("-",TEXT(Z76,"@"))),LEFT(TEXT(Z76,"@"),FIND("-",TEXT(Z76,"@"))-1),TEXT(Z76,"@"))),"000000000000000"),{15,14,13,12,11,10,9,8,7,6,5,4,3,2,1},1)),{3,7,13,17,19,23,29,37,41,43,47,53,59,67,71}),11)))))</f>
        <v>4</v>
      </c>
      <c r="AB76" s="26">
        <v>84131500</v>
      </c>
      <c r="AC76" s="29">
        <f>O76-M76</f>
        <v>143</v>
      </c>
      <c r="AD76" s="19">
        <v>14426</v>
      </c>
      <c r="AE76" s="19">
        <v>24226</v>
      </c>
      <c r="AF76" s="19" t="s">
        <v>39</v>
      </c>
    </row>
    <row r="77" spans="1:32" ht="61.5" customHeight="1" x14ac:dyDescent="0.35">
      <c r="A77" s="1" t="str">
        <f>[1]Contratos!A77</f>
        <v>CONTRATO 76 DE 2026</v>
      </c>
      <c r="B77" s="10" t="str">
        <f>[1]Contratos!B77</f>
        <v>FREDDY RODRIGUEZ</v>
      </c>
      <c r="C77" s="10" t="str">
        <f>[1]Contratos!E77</f>
        <v>Prestación de servicios profesionales o Apoyo a la gestión</v>
      </c>
      <c r="D77" s="10" t="s">
        <v>209</v>
      </c>
      <c r="E77" s="11" t="str">
        <f>[1]Contratos!F77</f>
        <v>Prestar los servicios profesionales como Ingeniero Senior especializado para apoyar la CRC en la migración de contenidos y la actualización de versión de Drupal para la sede electrónica (página web) de la entidad, alineado con las políticas vigentes de gobierno digital</v>
      </c>
      <c r="F77" s="12">
        <v>87518688</v>
      </c>
      <c r="G77" s="13">
        <f>[1]Contratos!G77</f>
        <v>87518688</v>
      </c>
      <c r="H77" s="14" t="str">
        <f>IFERROR(VLOOKUP(A77, [1]Otrosí!A:F, 6, FALSE), "0")</f>
        <v>0</v>
      </c>
      <c r="I77" s="13">
        <f t="shared" si="4"/>
        <v>87518688</v>
      </c>
      <c r="J77" s="15">
        <v>10210513</v>
      </c>
      <c r="K77" s="13">
        <f t="shared" si="5"/>
        <v>77308175</v>
      </c>
      <c r="L77" s="16">
        <f t="shared" si="6"/>
        <v>0.11666665981098803</v>
      </c>
      <c r="M77" s="17">
        <f>[1]Contratos!O77</f>
        <v>46211</v>
      </c>
      <c r="N77" s="17">
        <f>[1]Contratos!P77</f>
        <v>46213</v>
      </c>
      <c r="O77" s="17">
        <f>[1]Contratos!Q77</f>
        <v>46387</v>
      </c>
      <c r="P77" s="17" t="str">
        <f>IFERROR(VLOOKUP(A77, [1]Otrosí!A:L, 7, FALSE), "N/A")</f>
        <v>N/A</v>
      </c>
      <c r="Q77" s="18" t="s">
        <v>33</v>
      </c>
      <c r="R77" s="19" t="s">
        <v>34</v>
      </c>
      <c r="S77" s="31" t="s">
        <v>210</v>
      </c>
      <c r="T77" s="21" t="s">
        <v>36</v>
      </c>
      <c r="U77" s="10" t="str">
        <f>[1]Contratos!C77</f>
        <v>PN</v>
      </c>
      <c r="V77" s="10" t="str">
        <f>[1]Contratos!I77</f>
        <v>RELACIONES CON GRUPOS DE VALOR / TECNOLOGÍAS Y SIST. DE INF.</v>
      </c>
      <c r="W77" s="22" t="str">
        <f>[1]Contratos!J77</f>
        <v>WILVER DELGADO</v>
      </c>
      <c r="X77" s="23" cm="1">
        <f t="array" ref="X77">IFERROR(VLOOKUP(W77,[1]COORD!$A$30:$B$66, 2, FALSE),[1]COORD!$B$30:$B$66)</f>
        <v>13747812</v>
      </c>
      <c r="Y77" s="24" t="s">
        <v>37</v>
      </c>
      <c r="Z77" s="25">
        <v>80756133</v>
      </c>
      <c r="AA77" s="26" t="s">
        <v>38</v>
      </c>
      <c r="AB77" s="26">
        <v>81111504</v>
      </c>
      <c r="AC77" s="29">
        <f>O77-M77</f>
        <v>176</v>
      </c>
      <c r="AD77" s="19">
        <v>15526</v>
      </c>
      <c r="AE77" s="19">
        <v>25826</v>
      </c>
      <c r="AF77" s="19" t="s">
        <v>39</v>
      </c>
    </row>
    <row r="78" spans="1:32" ht="61.5" customHeight="1" x14ac:dyDescent="0.35">
      <c r="A78" s="1" t="str">
        <f>[1]Contratos!A78</f>
        <v>CONTRATO 77 DE 2026</v>
      </c>
      <c r="B78" s="10" t="str">
        <f>[1]Contratos!B78</f>
        <v>MUNDIAL SEGUROS</v>
      </c>
      <c r="C78" s="10" t="str">
        <f>[1]Contratos!E78</f>
        <v>Selección Abreviada de Menor Cuantía</v>
      </c>
      <c r="D78" s="10" t="s">
        <v>211</v>
      </c>
      <c r="E78" s="11" t="str">
        <f>[1]Contratos!F78</f>
        <v>Contratar la póliza de Responsabilidad Civil de Datos - CYBER, de la Comisión de Regulación de Comunicaciones (CRC).</v>
      </c>
      <c r="F78" s="12">
        <v>187726231</v>
      </c>
      <c r="G78" s="13">
        <f>[1]Contratos!G78</f>
        <v>187726231</v>
      </c>
      <c r="H78" s="14" t="str">
        <f>IFERROR(VLOOKUP(A78, [1]Otrosí!A:F, 6, FALSE), "0")</f>
        <v>0</v>
      </c>
      <c r="I78" s="13">
        <f t="shared" si="4"/>
        <v>187726231</v>
      </c>
      <c r="J78" s="15">
        <v>0</v>
      </c>
      <c r="K78" s="13">
        <f t="shared" si="5"/>
        <v>187726231</v>
      </c>
      <c r="L78" s="16">
        <f t="shared" si="6"/>
        <v>0</v>
      </c>
      <c r="M78" s="17">
        <f>[1]Contratos!O78</f>
        <v>46212</v>
      </c>
      <c r="N78" s="17">
        <f>[1]Contratos!P78</f>
        <v>46241</v>
      </c>
      <c r="O78" s="17">
        <f>[1]Contratos!Q78</f>
        <v>46875</v>
      </c>
      <c r="P78" s="17" t="str">
        <f>IFERROR(VLOOKUP(A78, [1]Otrosí!A:L, 7, FALSE), "N/A")</f>
        <v>N/A</v>
      </c>
      <c r="Q78" s="18" t="s">
        <v>73</v>
      </c>
      <c r="R78" s="19" t="s">
        <v>55</v>
      </c>
      <c r="S78" s="31" t="s">
        <v>212</v>
      </c>
      <c r="T78" s="21" t="s">
        <v>213</v>
      </c>
      <c r="U78" s="10" t="str">
        <f>[1]Contratos!C78</f>
        <v>PJ</v>
      </c>
      <c r="V78" s="10" t="str">
        <f>[1]Contratos!I78</f>
        <v>TECNOLOGÍAS Y SIST. DE INF. / GESTIÓN ADM. Y FIN.</v>
      </c>
      <c r="W78" s="22" t="str">
        <f>[1]Contratos!J78</f>
        <v>DIANA WILCHES / INGRID PICÓN</v>
      </c>
      <c r="X78" s="23" t="str" cm="1">
        <f t="array" ref="X78">IFERROR(VLOOKUP(W78,[1]COORD!$A$30:$B$66, 2, FALSE),[1]COORD!$B$30:$B$66)</f>
        <v>40049758 / 60372503</v>
      </c>
      <c r="Y78" s="24" t="s">
        <v>75</v>
      </c>
      <c r="Z78" s="25">
        <v>860037013</v>
      </c>
      <c r="AA78" s="26" cm="1">
        <f t="array" ref="AA78">IF(OR(Z78="",Z78="N/A"),"N/A",IF(ISERROR(VALUE(IF(ISNUMBER(FIND("-",TEXT(Z78,"@"))),LEFT(TEXT(Z78,"@"),FIND("-",TEXT(Z78,"@"))-1),TEXT(Z78,"@")))),"N/A",IF(MOD(SUMPRODUCT(VALUE(MID(TEXT(VALUE(IF(ISNUMBER(FIND("-",TEXT(Z78,"@"))),LEFT(TEXT(Z78,"@"),FIND("-",TEXT(Z78,"@"))-1),TEXT(Z78,"@"))),"000000000000000"),{15,14,13,12,11,10,9,8,7,6,5,4,3,2,1},1)),{3,7,13,17,19,23,29,37,41,43,47,53,59,67,71}),11)=0,0,IF(MOD(SUMPRODUCT(VALUE(MID(TEXT(VALUE(IF(ISNUMBER(FIND("-",TEXT(Z78,"@"))),LEFT(TEXT(Z78,"@"),FIND("-",TEXT(Z78,"@"))-1),TEXT(Z78,"@"))),"000000000000000"),{15,14,13,12,11,10,9,8,7,6,5,4,3,2,1},1)),{3,7,13,17,19,23,29,37,41,43,47,53,59,67,71}),11)=1,1,11-MOD(SUMPRODUCT(VALUE(MID(TEXT(VALUE(IF(ISNUMBER(FIND("-",TEXT(Z78,"@"))),LEFT(TEXT(Z78,"@"),FIND("-",TEXT(Z78,"@"))-1),TEXT(Z78,"@"))),"000000000000000"),{15,14,13,12,11,10,9,8,7,6,5,4,3,2,1},1)),{3,7,13,17,19,23,29,37,41,43,47,53,59,67,71}),11)))))</f>
        <v>6</v>
      </c>
      <c r="AB78" s="26">
        <v>84131500</v>
      </c>
      <c r="AC78" s="29">
        <f>O78-M78</f>
        <v>663</v>
      </c>
      <c r="AD78" s="19">
        <v>13226</v>
      </c>
      <c r="AE78" s="19">
        <v>26026</v>
      </c>
      <c r="AF78" s="19" t="s">
        <v>39</v>
      </c>
    </row>
    <row r="79" spans="1:32" ht="61.5" customHeight="1" x14ac:dyDescent="0.35">
      <c r="A79" s="1" t="str">
        <f>[1]Contratos!A79</f>
        <v>CONTRATO 78 DE 2026 - OC 166465</v>
      </c>
      <c r="B79" s="10" t="str">
        <f>[1]Contratos!B79</f>
        <v xml:space="preserve">COMCEL S.A </v>
      </c>
      <c r="C79" s="10" t="str">
        <f>[1]Contratos!E79</f>
        <v>AMP/IAD/CGS</v>
      </c>
      <c r="D79" s="10" t="s">
        <v>214</v>
      </c>
      <c r="E79" s="11" t="str">
        <f>[1]Contratos!F79</f>
        <v>Adquirir una suscripción Microsoft Azure CSP dedicada a la gestión de respaldos (backup) y recuperación ante desastres de los activos de información institucionales desplegados en la nube de la Comisión de Regulación de Comunicaciones, bajo un modelo de Servicios Gestionados (Managed Services), incluyendo la implementación, operación, monitoreo, soporte y administración continua de las políticas de respaldo mediante Azure Backup y Recovery Services Vault</v>
      </c>
      <c r="F79" s="12">
        <v>197939204</v>
      </c>
      <c r="G79" s="13">
        <f>[1]Contratos!G79</f>
        <v>189070594.40000001</v>
      </c>
      <c r="H79" s="14" t="str">
        <f>IFERROR(VLOOKUP(A79, [1]Otrosí!A:F, 6, FALSE), "0")</f>
        <v>0</v>
      </c>
      <c r="I79" s="13">
        <f t="shared" si="4"/>
        <v>189070594.40000001</v>
      </c>
      <c r="J79" s="15">
        <v>0</v>
      </c>
      <c r="K79" s="13">
        <f t="shared" si="5"/>
        <v>189070594.40000001</v>
      </c>
      <c r="L79" s="16">
        <f t="shared" si="6"/>
        <v>0</v>
      </c>
      <c r="M79" s="17">
        <f>[1]Contratos!O79</f>
        <v>46206</v>
      </c>
      <c r="N79" s="17">
        <f>[1]Contratos!P79</f>
        <v>46206</v>
      </c>
      <c r="O79" s="17">
        <f>[1]Contratos!Q79</f>
        <v>46387</v>
      </c>
      <c r="P79" s="17" t="str">
        <f>IFERROR(VLOOKUP(A79, [1]Otrosí!A:L, 7, FALSE), "N/A")</f>
        <v>N/A</v>
      </c>
      <c r="Q79" s="18" t="s">
        <v>73</v>
      </c>
      <c r="R79" s="19"/>
      <c r="S79" s="31" t="s">
        <v>215</v>
      </c>
      <c r="T79" s="21" t="s">
        <v>36</v>
      </c>
      <c r="U79" s="10" t="str">
        <f>[1]Contratos!C79</f>
        <v>PJ</v>
      </c>
      <c r="V79" s="10" t="str">
        <f>[1]Contratos!I79</f>
        <v>TECNOLOGÍAS Y SIST. DE INF.</v>
      </c>
      <c r="W79" s="22" t="str">
        <f>[1]Contratos!J79</f>
        <v>EDWIN ALBERTO VARGAS</v>
      </c>
      <c r="X79" s="23" cm="1">
        <f t="array" ref="X79">IFERROR(VLOOKUP(W79,[1]COORD!$A$30:$B$66, 2, FALSE),[1]COORD!$B$30:$B$66)</f>
        <v>7173927</v>
      </c>
      <c r="Y79" s="24" t="s">
        <v>75</v>
      </c>
      <c r="Z79" s="25">
        <v>800153993</v>
      </c>
      <c r="AA79" s="26" cm="1">
        <f t="array" ref="AA79">IF(OR(Z79="",Z79="N/A"),"N/A",IF(ISERROR(VALUE(IF(ISNUMBER(FIND("-",TEXT(Z79,"@"))),LEFT(TEXT(Z79,"@"),FIND("-",TEXT(Z79,"@"))-1),TEXT(Z79,"@")))),"N/A",IF(MOD(SUMPRODUCT(VALUE(MID(TEXT(VALUE(IF(ISNUMBER(FIND("-",TEXT(Z79,"@"))),LEFT(TEXT(Z79,"@"),FIND("-",TEXT(Z79,"@"))-1),TEXT(Z79,"@"))),"000000000000000"),{15,14,13,12,11,10,9,8,7,6,5,4,3,2,1},1)),{3,7,13,17,19,23,29,37,41,43,47,53,59,67,71}),11)=0,0,IF(MOD(SUMPRODUCT(VALUE(MID(TEXT(VALUE(IF(ISNUMBER(FIND("-",TEXT(Z79,"@"))),LEFT(TEXT(Z79,"@"),FIND("-",TEXT(Z79,"@"))-1),TEXT(Z79,"@"))),"000000000000000"),{15,14,13,12,11,10,9,8,7,6,5,4,3,2,1},1)),{3,7,13,17,19,23,29,37,41,43,47,53,59,67,71}),11)=1,1,11-MOD(SUMPRODUCT(VALUE(MID(TEXT(VALUE(IF(ISNUMBER(FIND("-",TEXT(Z79,"@"))),LEFT(TEXT(Z79,"@"),FIND("-",TEXT(Z79,"@"))-1),TEXT(Z79,"@"))),"000000000000000"),{15,14,13,12,11,10,9,8,7,6,5,4,3,2,1},1)),{3,7,13,17,19,23,29,37,41,43,47,53,59,67,71}),11)))))</f>
        <v>7</v>
      </c>
      <c r="AB79" s="26">
        <v>81112101</v>
      </c>
      <c r="AC79" s="29">
        <f>O79-M79</f>
        <v>181</v>
      </c>
      <c r="AD79" s="19">
        <v>14026</v>
      </c>
      <c r="AE79" s="19">
        <v>25326</v>
      </c>
      <c r="AF79" s="19" t="s">
        <v>39</v>
      </c>
    </row>
    <row r="80" spans="1:32" ht="61.5" customHeight="1" x14ac:dyDescent="0.35">
      <c r="A80" s="1" t="str">
        <f>[1]Contratos!A80</f>
        <v>CONTRATO 79 DE 2026</v>
      </c>
      <c r="B80" s="10" t="str">
        <f>[1]Contratos!B80</f>
        <v>BRANDSTRAT BIC S.A.S</v>
      </c>
      <c r="C80" s="10" t="str">
        <f>[1]Contratos!E80</f>
        <v>Concurso de méritos</v>
      </c>
      <c r="D80" s="10" t="s">
        <v>216</v>
      </c>
      <c r="E80" s="11" t="str">
        <f>[1]Contratos!F80</f>
        <v xml:space="preserve">Prestación de servicios de consultoría para desarrollar un estudio que permita identificar, analizar y caracterizar los mecanismos de protección de niños, niñas y adolescentes (NNA) implementados en plataformas audiovisuales y servicios digitales. </v>
      </c>
      <c r="F80" s="12">
        <v>273424500</v>
      </c>
      <c r="G80" s="13">
        <f>[1]Contratos!G80</f>
        <v>273424500</v>
      </c>
      <c r="H80" s="14" t="str">
        <f>IFERROR(VLOOKUP(A80, [1]Otrosí!A:F, 6, FALSE), "0")</f>
        <v>0</v>
      </c>
      <c r="I80" s="13">
        <f t="shared" si="4"/>
        <v>273424500</v>
      </c>
      <c r="J80" s="15">
        <v>0</v>
      </c>
      <c r="K80" s="13">
        <f t="shared" si="5"/>
        <v>273424500</v>
      </c>
      <c r="L80" s="16">
        <f t="shared" si="6"/>
        <v>0</v>
      </c>
      <c r="M80" s="17">
        <f>[1]Contratos!O80</f>
        <v>46231</v>
      </c>
      <c r="N80" s="17">
        <f>[1]Contratos!P80</f>
        <v>46238</v>
      </c>
      <c r="O80" s="17">
        <f>[1]Contratos!Q80</f>
        <v>46359</v>
      </c>
      <c r="P80" s="17" t="str">
        <f>IFERROR(VLOOKUP(A80, [1]Otrosí!A:L, 7, FALSE), "N/A")</f>
        <v>N/A</v>
      </c>
      <c r="Q80" s="18" t="s">
        <v>73</v>
      </c>
      <c r="R80" s="19" t="s">
        <v>34</v>
      </c>
      <c r="S80" s="31" t="s">
        <v>217</v>
      </c>
      <c r="T80" s="21" t="s">
        <v>36</v>
      </c>
      <c r="U80" s="10" t="str">
        <f>[1]Contratos!C80</f>
        <v>PJ</v>
      </c>
      <c r="V80" s="10" t="str">
        <f>[1]Contratos!I80</f>
        <v>DISEÑO REGULATORIO / IMPLEMENTACIÓN REGULATORIA</v>
      </c>
      <c r="W80" s="22" t="str">
        <f>[1]Contratos!J80</f>
        <v>VICTOR BALDRICH / RICARDO RAMÍREZ</v>
      </c>
      <c r="X80" s="23" t="str" cm="1">
        <f t="array" ref="X80">IFERROR(VLOOKUP(W80,[1]COORD!$A$30:$B$66, 2, FALSE),[1]COORD!$B$30:$B$66)</f>
        <v>1019105701 / 79444533</v>
      </c>
      <c r="Y80" s="24" t="s">
        <v>75</v>
      </c>
      <c r="Z80" s="25">
        <v>830100700</v>
      </c>
      <c r="AA80" s="26" cm="1">
        <f t="array" ref="AA80">IF(OR(Z80="",Z80="N/A"),"N/A",IF(ISERROR(VALUE(IF(ISNUMBER(FIND("-",TEXT(Z80,"@"))),LEFT(TEXT(Z80,"@"),FIND("-",TEXT(Z80,"@"))-1),TEXT(Z80,"@")))),"N/A",IF(MOD(SUMPRODUCT(VALUE(MID(TEXT(VALUE(IF(ISNUMBER(FIND("-",TEXT(Z80,"@"))),LEFT(TEXT(Z80,"@"),FIND("-",TEXT(Z80,"@"))-1),TEXT(Z80,"@"))),"000000000000000"),{15,14,13,12,11,10,9,8,7,6,5,4,3,2,1},1)),{3,7,13,17,19,23,29,37,41,43,47,53,59,67,71}),11)=0,0,IF(MOD(SUMPRODUCT(VALUE(MID(TEXT(VALUE(IF(ISNUMBER(FIND("-",TEXT(Z80,"@"))),LEFT(TEXT(Z80,"@"),FIND("-",TEXT(Z80,"@"))-1),TEXT(Z80,"@"))),"000000000000000"),{15,14,13,12,11,10,9,8,7,6,5,4,3,2,1},1)),{3,7,13,17,19,23,29,37,41,43,47,53,59,67,71}),11)=1,1,11-MOD(SUMPRODUCT(VALUE(MID(TEXT(VALUE(IF(ISNUMBER(FIND("-",TEXT(Z80,"@"))),LEFT(TEXT(Z80,"@"),FIND("-",TEXT(Z80,"@"))-1),TEXT(Z80,"@"))),"000000000000000"),{15,14,13,12,11,10,9,8,7,6,5,4,3,2,1},1)),{3,7,13,17,19,23,29,37,41,43,47,53,59,67,71}),11)))))</f>
        <v>8</v>
      </c>
      <c r="AB80" s="26">
        <v>80101505</v>
      </c>
      <c r="AC80" s="29">
        <f>O80-M80</f>
        <v>128</v>
      </c>
      <c r="AD80" s="19">
        <v>12126</v>
      </c>
      <c r="AE80" s="19">
        <v>27126</v>
      </c>
      <c r="AF80" s="19" t="s">
        <v>39</v>
      </c>
    </row>
    <row r="81" spans="1:32" ht="61.5" customHeight="1" x14ac:dyDescent="0.35">
      <c r="A81" s="1" t="str">
        <f>[1]Contratos!A81</f>
        <v>CONTRATO 80 DE 2026</v>
      </c>
      <c r="B81" s="10" t="str">
        <f>[1]Contratos!B81</f>
        <v>GIGA SAS</v>
      </c>
      <c r="C81" s="10" t="str">
        <f>[1]Contratos!E81</f>
        <v>Prestación de servicios profesionales o Apoyo a la gestión</v>
      </c>
      <c r="D81" s="10" t="s">
        <v>218</v>
      </c>
      <c r="E81" s="11" t="str">
        <f>[1]Contratos!F81</f>
        <v>Renovación de los servicios de soporte, mantenimiento y actualización del sistema de Gestión Documental ONBASE por un (1) año y adquisición de bolsa de horas para la Comisión de Regulación de Comunicaciones</v>
      </c>
      <c r="F81" s="33">
        <f>[1]Procesos!F91</f>
        <v>333764531.69999999</v>
      </c>
      <c r="G81" s="13">
        <f>[1]Contratos!G81</f>
        <v>333764531.69999999</v>
      </c>
      <c r="H81" s="14" t="str">
        <f>IFERROR(VLOOKUP(A81, [1]Otrosí!A:F, 6, FALSE), "0")</f>
        <v>0</v>
      </c>
      <c r="I81" s="13">
        <f t="shared" si="4"/>
        <v>333764531.69999999</v>
      </c>
      <c r="J81" s="15">
        <v>0</v>
      </c>
      <c r="K81" s="13">
        <f t="shared" si="5"/>
        <v>333764531.69999999</v>
      </c>
      <c r="L81" s="16">
        <f t="shared" si="6"/>
        <v>0</v>
      </c>
      <c r="M81" s="17">
        <f>[1]Contratos!O81</f>
        <v>46234</v>
      </c>
      <c r="N81" s="17">
        <f>[1]Contratos!P81</f>
        <v>46240</v>
      </c>
      <c r="O81" s="17">
        <f>[1]Contratos!Q81</f>
        <v>46600</v>
      </c>
      <c r="P81" s="17" t="str">
        <f>IFERROR(VLOOKUP(A81, [1]Otrosí!A:L, 7, FALSE), "N/A")</f>
        <v>N/A</v>
      </c>
      <c r="Q81" s="18" t="s">
        <v>73</v>
      </c>
      <c r="R81" s="19" t="s">
        <v>34</v>
      </c>
      <c r="S81" s="31" t="s">
        <v>219</v>
      </c>
      <c r="T81" s="21" t="s">
        <v>220</v>
      </c>
      <c r="U81" s="10" t="str">
        <f>[1]Contratos!C81</f>
        <v>PJ</v>
      </c>
      <c r="V81" s="10" t="str">
        <f>[1]Contratos!I81</f>
        <v>TECNOLOGÍAS Y SIST. DE INF. / GESTIÓN ADM. Y FIN.</v>
      </c>
      <c r="W81" s="22" t="str">
        <f>[1]Contratos!J81</f>
        <v>SANDRA SALAZAR</v>
      </c>
      <c r="X81" s="23" cm="1">
        <f t="array" ref="X81">IFERROR(VLOOKUP(W81,[1]COORD!$A$30:$B$66, 2, FALSE),[1]COORD!$B$30:$B$66)</f>
        <v>52075451</v>
      </c>
      <c r="Y81" s="24" t="s">
        <v>75</v>
      </c>
      <c r="Z81" s="25">
        <v>900554898</v>
      </c>
      <c r="AA81" s="26" cm="1">
        <f t="array" ref="AA81">IF(OR(Z81="",Z81="N/A"),"N/A",IF(ISERROR(VALUE(IF(ISNUMBER(FIND("-",TEXT(Z81,"@"))),LEFT(TEXT(Z81,"@"),FIND("-",TEXT(Z81,"@"))-1),TEXT(Z81,"@")))),"N/A",IF(MOD(SUMPRODUCT(VALUE(MID(TEXT(VALUE(IF(ISNUMBER(FIND("-",TEXT(Z81,"@"))),LEFT(TEXT(Z81,"@"),FIND("-",TEXT(Z81,"@"))-1),TEXT(Z81,"@"))),"000000000000000"),{15,14,13,12,11,10,9,8,7,6,5,4,3,2,1},1)),{3,7,13,17,19,23,29,37,41,43,47,53,59,67,71}),11)=0,0,IF(MOD(SUMPRODUCT(VALUE(MID(TEXT(VALUE(IF(ISNUMBER(FIND("-",TEXT(Z81,"@"))),LEFT(TEXT(Z81,"@"),FIND("-",TEXT(Z81,"@"))-1),TEXT(Z81,"@"))),"000000000000000"),{15,14,13,12,11,10,9,8,7,6,5,4,3,2,1},1)),{3,7,13,17,19,23,29,37,41,43,47,53,59,67,71}),11)=1,1,11-MOD(SUMPRODUCT(VALUE(MID(TEXT(VALUE(IF(ISNUMBER(FIND("-",TEXT(Z81,"@"))),LEFT(TEXT(Z81,"@"),FIND("-",TEXT(Z81,"@"))-1),TEXT(Z81,"@"))),"000000000000000"),{15,14,13,12,11,10,9,8,7,6,5,4,3,2,1},1)),{3,7,13,17,19,23,29,37,41,43,47,53,59,67,71}),11)))))</f>
        <v>9</v>
      </c>
      <c r="AB81" s="26">
        <v>81112209</v>
      </c>
      <c r="AC81" s="29">
        <f>O81-M81</f>
        <v>366</v>
      </c>
      <c r="AD81" s="19">
        <v>16526</v>
      </c>
      <c r="AE81" s="19">
        <v>28226</v>
      </c>
      <c r="AF81" s="19" t="s">
        <v>39</v>
      </c>
    </row>
    <row r="82" spans="1:32" ht="61.5" customHeight="1" x14ac:dyDescent="0.35">
      <c r="A82" s="1" t="str">
        <f>[1]Contratos!A83</f>
        <v>CONTRATO 82 DE 2026</v>
      </c>
      <c r="B82" s="10" t="str">
        <f>[1]Contratos!B83</f>
        <v>ALL TECHNOLOGICAL SERVICES ATS S A S</v>
      </c>
      <c r="C82" s="10" t="str">
        <f>[1]Contratos!E83</f>
        <v>Mínima cuantía</v>
      </c>
      <c r="D82" s="10" t="s">
        <v>221</v>
      </c>
      <c r="E82" s="11" t="str">
        <f>[1]Contratos!F83</f>
        <v>Contratar el servicio de Mantenimiento preventivo y correctivo con suministro de repuestos, partes y accesorios nuevos y originales no remanufacturados, a todo costo, para los equipos eléctricos y electrónicos de la Comisión de Regulación de Comunicaciones.</v>
      </c>
      <c r="F82" s="33">
        <f>[1]Procesos!F86</f>
        <v>10731370</v>
      </c>
      <c r="G82" s="13">
        <f>[1]Contratos!G83</f>
        <v>5902257</v>
      </c>
      <c r="H82" s="14" t="str">
        <f>IFERROR(VLOOKUP(A82, [1]Otrosí!A:F, 6, FALSE), "0")</f>
        <v>0</v>
      </c>
      <c r="I82" s="13">
        <f t="shared" si="4"/>
        <v>5902257</v>
      </c>
      <c r="J82" s="15">
        <v>0</v>
      </c>
      <c r="K82" s="13">
        <f t="shared" si="5"/>
        <v>5902257</v>
      </c>
      <c r="L82" s="16">
        <f t="shared" si="6"/>
        <v>0</v>
      </c>
      <c r="M82" s="17">
        <f>[1]Contratos!O83</f>
        <v>46231</v>
      </c>
      <c r="N82" s="17">
        <f>[1]Contratos!P83</f>
        <v>46233</v>
      </c>
      <c r="O82" s="17">
        <f>[1]Contratos!Q83</f>
        <v>46356</v>
      </c>
      <c r="P82" s="17" t="str">
        <f>IFERROR(VLOOKUP(A82, [1]Otrosí!A:L, 7, FALSE), "N/A")</f>
        <v>N/A</v>
      </c>
      <c r="Q82" s="18" t="s">
        <v>170</v>
      </c>
      <c r="R82" s="19" t="s">
        <v>55</v>
      </c>
      <c r="S82" s="31" t="s">
        <v>222</v>
      </c>
      <c r="T82" s="21" t="s">
        <v>36</v>
      </c>
      <c r="U82" s="10" t="str">
        <f>[1]Contratos!C83</f>
        <v>PJ</v>
      </c>
      <c r="V82" s="10" t="str">
        <f>[1]Contratos!I83</f>
        <v>GESTIÓN ADM. Y FIN</v>
      </c>
      <c r="W82" s="22" t="str">
        <f>[1]Contratos!J83</f>
        <v>LUIS JORGE GUEVARA</v>
      </c>
      <c r="X82" s="23" cm="1">
        <f t="array" ref="X82">IFERROR(VLOOKUP(W82,[1]COORD!$A$30:$B$66, 2, FALSE),[1]COORD!$B$30:$B$66)</f>
        <v>80811747</v>
      </c>
      <c r="Y82" s="24" t="s">
        <v>75</v>
      </c>
      <c r="Z82" s="25">
        <v>900627060</v>
      </c>
      <c r="AA82" s="26" cm="1">
        <f t="array" ref="AA82">IF(OR(Z82="",Z82="N/A"),"N/A",IF(ISERROR(VALUE(IF(ISNUMBER(FIND("-",TEXT(Z82,"@"))),LEFT(TEXT(Z82,"@"),FIND("-",TEXT(Z82,"@"))-1),TEXT(Z82,"@")))),"N/A",IF(MOD(SUMPRODUCT(VALUE(MID(TEXT(VALUE(IF(ISNUMBER(FIND("-",TEXT(Z82,"@"))),LEFT(TEXT(Z82,"@"),FIND("-",TEXT(Z82,"@"))-1),TEXT(Z82,"@"))),"000000000000000"),{15,14,13,12,11,10,9,8,7,6,5,4,3,2,1},1)),{3,7,13,17,19,23,29,37,41,43,47,53,59,67,71}),11)=0,0,IF(MOD(SUMPRODUCT(VALUE(MID(TEXT(VALUE(IF(ISNUMBER(FIND("-",TEXT(Z82,"@"))),LEFT(TEXT(Z82,"@"),FIND("-",TEXT(Z82,"@"))-1),TEXT(Z82,"@"))),"000000000000000"),{15,14,13,12,11,10,9,8,7,6,5,4,3,2,1},1)),{3,7,13,17,19,23,29,37,41,43,47,53,59,67,71}),11)=1,1,11-MOD(SUMPRODUCT(VALUE(MID(TEXT(VALUE(IF(ISNUMBER(FIND("-",TEXT(Z82,"@"))),LEFT(TEXT(Z82,"@"),FIND("-",TEXT(Z82,"@"))-1),TEXT(Z82,"@"))),"000000000000000"),{15,14,13,12,11,10,9,8,7,6,5,4,3,2,1},1)),{3,7,13,17,19,23,29,37,41,43,47,53,59,67,71}),11)))))</f>
        <v>9</v>
      </c>
      <c r="AB82" s="26">
        <v>72154065</v>
      </c>
      <c r="AC82" s="29">
        <f>O82-M82</f>
        <v>125</v>
      </c>
      <c r="AD82" s="19">
        <v>15926</v>
      </c>
      <c r="AE82" s="19">
        <v>27326</v>
      </c>
      <c r="AF82" s="19" t="s">
        <v>39</v>
      </c>
    </row>
    <row r="83" spans="1:32" ht="61.5" customHeight="1" x14ac:dyDescent="0.35">
      <c r="A83" s="1" t="str">
        <f>[1]Contratos!A84</f>
        <v>CONTRATO 83 DE 2026</v>
      </c>
      <c r="B83" s="10" t="str">
        <f>[1]Contratos!B84</f>
        <v>BAG SAS</v>
      </c>
      <c r="C83" s="10" t="str">
        <f>[1]Contratos!E84</f>
        <v>Selección Abreviada de Menor Cuantía</v>
      </c>
      <c r="D83" s="10" t="s">
        <v>223</v>
      </c>
      <c r="E83" s="11" t="str">
        <f>[1]Contratos!F84</f>
        <v xml:space="preserve">Renovación del licenciamiento actual del software de Gestión de Servicios de TI (ITSM) Aranda Service Desk (ASDK) y Aranda Client Management (ACM) hacia un modelo de suscripción cloud con la solución Aranda Service Management Suite (ASMS) y Device Management (ADM), incluyendo los servicios requeridos para su implementación, migración y puesta en operación para la Comisión de Regulación de Comunicaciones - CRC. </v>
      </c>
      <c r="F83" s="33">
        <f>[1]Procesos!F81</f>
        <v>111014148</v>
      </c>
      <c r="G83" s="13">
        <f>[1]Contratos!G84</f>
        <v>90950000</v>
      </c>
      <c r="H83" s="14" t="str">
        <f>IFERROR(VLOOKUP(A83, [1]Otrosí!A:F, 6, FALSE), "0")</f>
        <v>0</v>
      </c>
      <c r="I83" s="13">
        <f t="shared" si="4"/>
        <v>90950000</v>
      </c>
      <c r="J83" s="15">
        <v>0</v>
      </c>
      <c r="K83" s="13">
        <f t="shared" si="5"/>
        <v>90950000</v>
      </c>
      <c r="L83" s="16">
        <f t="shared" si="6"/>
        <v>0</v>
      </c>
      <c r="M83" s="17">
        <f>[1]Contratos!O84</f>
        <v>46240</v>
      </c>
      <c r="N83" s="17">
        <f>[1]Contratos!P84</f>
        <v>46253</v>
      </c>
      <c r="O83" s="17">
        <f>[1]Contratos!Q84</f>
        <v>46616</v>
      </c>
      <c r="P83" s="17" t="str">
        <f>IFERROR(VLOOKUP(A83, [1]Otrosí!A:L, 7, FALSE), "N/A")</f>
        <v>N/A</v>
      </c>
      <c r="Q83" s="18" t="s">
        <v>73</v>
      </c>
      <c r="R83" s="19" t="s">
        <v>34</v>
      </c>
      <c r="S83" s="31" t="s">
        <v>224</v>
      </c>
      <c r="T83" s="21" t="s">
        <v>220</v>
      </c>
      <c r="U83" s="10" t="str">
        <f>[1]Contratos!C84</f>
        <v>PJ</v>
      </c>
      <c r="V83" s="10" t="str">
        <f>[1]Contratos!I84</f>
        <v>TECNOLOGÍAS Y SIST. DE INF.</v>
      </c>
      <c r="W83" s="22" t="str">
        <f>[1]Contratos!J84</f>
        <v>DUGLAS LIZCANO</v>
      </c>
      <c r="X83" s="23" cm="1">
        <f t="array" ref="X83">IFERROR(VLOOKUP(W83,[1]COORD!$A$30:$B$66, 2, FALSE),[1]COORD!$B$30:$B$66)</f>
        <v>88218491</v>
      </c>
      <c r="Y83" s="24" t="s">
        <v>75</v>
      </c>
      <c r="Z83" s="25">
        <v>900394093</v>
      </c>
      <c r="AA83" s="26" cm="1">
        <f t="array" ref="AA83">IF(OR(Z83="",Z83="N/A"),"N/A",IF(ISERROR(VALUE(IF(ISNUMBER(FIND("-",TEXT(Z83,"@"))),LEFT(TEXT(Z83,"@"),FIND("-",TEXT(Z83,"@"))-1),TEXT(Z83,"@")))),"N/A",IF(MOD(SUMPRODUCT(VALUE(MID(TEXT(VALUE(IF(ISNUMBER(FIND("-",TEXT(Z83,"@"))),LEFT(TEXT(Z83,"@"),FIND("-",TEXT(Z83,"@"))-1),TEXT(Z83,"@"))),"000000000000000"),{15,14,13,12,11,10,9,8,7,6,5,4,3,2,1},1)),{3,7,13,17,19,23,29,37,41,43,47,53,59,67,71}),11)=0,0,IF(MOD(SUMPRODUCT(VALUE(MID(TEXT(VALUE(IF(ISNUMBER(FIND("-",TEXT(Z83,"@"))),LEFT(TEXT(Z83,"@"),FIND("-",TEXT(Z83,"@"))-1),TEXT(Z83,"@"))),"000000000000000"),{15,14,13,12,11,10,9,8,7,6,5,4,3,2,1},1)),{3,7,13,17,19,23,29,37,41,43,47,53,59,67,71}),11)=1,1,11-MOD(SUMPRODUCT(VALUE(MID(TEXT(VALUE(IF(ISNUMBER(FIND("-",TEXT(Z83,"@"))),LEFT(TEXT(Z83,"@"),FIND("-",TEXT(Z83,"@"))-1),TEXT(Z83,"@"))),"000000000000000"),{15,14,13,12,11,10,9,8,7,6,5,4,3,2,1},1)),{3,7,13,17,19,23,29,37,41,43,47,53,59,67,71}),11)))))</f>
        <v>1</v>
      </c>
      <c r="AB83" s="26">
        <v>43231501</v>
      </c>
      <c r="AC83" s="29">
        <f>O83-M83</f>
        <v>376</v>
      </c>
      <c r="AD83" s="19">
        <v>14926</v>
      </c>
      <c r="AE83" s="19">
        <v>29026</v>
      </c>
      <c r="AF83" s="19" t="s">
        <v>39</v>
      </c>
    </row>
    <row r="84" spans="1:32" ht="61.5" customHeight="1" x14ac:dyDescent="0.35">
      <c r="A84" s="1" t="str">
        <f>[1]Contratos!A85</f>
        <v>CONTRATO 84 DE 2026</v>
      </c>
      <c r="B84" s="10" t="str">
        <f>[1]Contratos!B85</f>
        <v>DIANA CIFUENTES</v>
      </c>
      <c r="C84" s="10" t="str">
        <f>[1]Contratos!E85</f>
        <v>Prestación de servicios profesionales o Apoyo a la gestión</v>
      </c>
      <c r="D84" s="10" t="s">
        <v>225</v>
      </c>
      <c r="E84" s="11" t="str">
        <f>[1]Contratos!F85</f>
        <v xml:space="preserve">Prestar servicios profesionales especializados de apoyo técnico a la CRC en los componentes de diseño de experiencia de usuario (UX/UI), arquitectura de información, accesibilidad, usabilidad y desarrollo Front-end que se requieran para el fortalecimiento del ecosistema digital Aula CRC, incluyendo la estructuración, implementación y despliegue del Centro Interactivo de Recursos Pedagógicos, así como para la mejora del entorno LMS Moodle, de acuerdo con los lineamientos, requerimientos y la estrategia definidos por la Entidad, garantizando la coherencia visual y la integración orgánica entre ambos entornos. </v>
      </c>
      <c r="F84" s="33">
        <f>[1]Procesos!F93</f>
        <v>59400000</v>
      </c>
      <c r="G84" s="13">
        <f>[1]Contratos!G85</f>
        <v>59400000</v>
      </c>
      <c r="H84" s="14" t="str">
        <f>IFERROR(VLOOKUP(A84, [1]Otrosí!A:F, 6, FALSE), "0")</f>
        <v>0</v>
      </c>
      <c r="I84" s="13">
        <f t="shared" si="4"/>
        <v>59400000</v>
      </c>
      <c r="J84" s="15">
        <v>0</v>
      </c>
      <c r="K84" s="13">
        <f t="shared" si="5"/>
        <v>59400000</v>
      </c>
      <c r="L84" s="16">
        <f t="shared" si="6"/>
        <v>0</v>
      </c>
      <c r="M84" s="17">
        <f>[1]Contratos!O85</f>
        <v>46239</v>
      </c>
      <c r="N84" s="17">
        <f>[1]Contratos!P85</f>
        <v>46245</v>
      </c>
      <c r="O84" s="17">
        <f>[1]Contratos!Q85</f>
        <v>46382</v>
      </c>
      <c r="P84" s="17" t="str">
        <f>IFERROR(VLOOKUP(A84, [1]Otrosí!A:L, 7, FALSE), "N/A")</f>
        <v>N/A</v>
      </c>
      <c r="Q84" s="18" t="s">
        <v>33</v>
      </c>
      <c r="R84" s="19" t="s">
        <v>34</v>
      </c>
      <c r="S84" s="20" t="s">
        <v>226</v>
      </c>
      <c r="T84" s="21" t="s">
        <v>220</v>
      </c>
      <c r="U84" s="10" t="str">
        <f>[1]Contratos!C85</f>
        <v>PN</v>
      </c>
      <c r="V84" s="10" t="str">
        <f>[1]Contratos!I85</f>
        <v>PEDAGOGÍA REGULATORIA / TECNOLOGÍAS Y SIST. DE INF.</v>
      </c>
      <c r="W84" s="22" t="str">
        <f>[1]Contratos!J85</f>
        <v>WILVER DELGADO / RICARDO RAMÍREZ</v>
      </c>
      <c r="X84" s="23" t="str" cm="1">
        <f t="array" ref="X84">IFERROR(VLOOKUP(W84,[1]COORD!$A$30:$B$66, 2, FALSE),[1]COORD!$B$30:$B$66)</f>
        <v>13747812 / 79444533</v>
      </c>
      <c r="Y84" s="24" t="s">
        <v>37</v>
      </c>
      <c r="Z84" s="25">
        <v>53123158</v>
      </c>
      <c r="AA84" s="26" t="str" cm="1">
        <f t="array" ref="AA84">IF(Y84&lt;&gt;"NIT","N/A",IF(OR(Z84="",Z84="N/A"),"N/A",IF(ISERROR(VALUE(IF(ISNUMBER(FIND("-",TEXT(Z84,"@"))),LEFT(TEXT(Z84,"@"),FIND("-",TEXT(Z84,"@"))-1),TEXT(Z84,"@")))),"N/A",IF(MOD(SUMPRODUCT(VALUE(MID(TEXT(VALUE(IF(ISNUMBER(FIND("-",TEXT(Z84,"@"))),LEFT(TEXT(Z84,"@"),FIND("-",TEXT(Z84,"@"))-1),TEXT(Z84,"@"))),"000000000000000"),{15,14,13,12,11,10,9,8,7,6,5,4,3,2,1},1)),{3,7,13,17,19,23,29,37,41,43,47,53,59,67,71}),11)=0,0,IF(MOD(SUMPRODUCT(VALUE(MID(TEXT(VALUE(IF(ISNUMBER(FIND("-",TEXT(Z84,"@"))),LEFT(TEXT(Z84,"@"),FIND("-",TEXT(Z84,"@"))-1),TEXT(Z84,"@"))),"000000000000000"),{15,14,13,12,11,10,9,8,7,6,5,4,3,2,1},1)),{3,7,13,17,19,23,29,37,41,43,47,53,59,67,71}),11)=1,1,11-MOD(SUMPRODUCT(VALUE(MID(TEXT(VALUE(IF(ISNUMBER(FIND("-",TEXT(Z84,"@"))),LEFT(TEXT(Z84,"@"),FIND("-",TEXT(Z84,"@"))-1),TEXT(Z84,"@"))),"000000000000000"),{15,14,13,12,11,10,9,8,7,6,5,4,3,2,1},1)),{3,7,13,17,19,23,29,37,41,43,47,53,59,67,71}),11))))))</f>
        <v>N/A</v>
      </c>
      <c r="AB84" s="34" t="s">
        <v>227</v>
      </c>
      <c r="AC84" s="29">
        <f>O84-M84</f>
        <v>143</v>
      </c>
      <c r="AD84" s="19">
        <v>17126</v>
      </c>
      <c r="AE84" s="19">
        <v>28726</v>
      </c>
      <c r="AF84" s="19" t="s">
        <v>39</v>
      </c>
    </row>
    <row r="85" spans="1:32" ht="112.5" x14ac:dyDescent="0.35">
      <c r="A85" s="1" t="str">
        <f>[1]Contratos!A86</f>
        <v>CONTRATO 85 DE 2026</v>
      </c>
      <c r="B85" s="10" t="str">
        <f>[1]Contratos!B86</f>
        <v>JONATHAN DAVID ASÍAS PINO</v>
      </c>
      <c r="C85" s="10" t="str">
        <f>[1]Contratos!E86</f>
        <v>Prestación de servicios profesionales o Apoyo a la gestión</v>
      </c>
      <c r="D85" s="10" t="s">
        <v>228</v>
      </c>
      <c r="E85" s="11" t="str">
        <f>[1]Contratos!F86</f>
        <v xml:space="preserve">Prestar servicios profesionales especializados de apoyo a la CRC en la configuración, y actualización del entorno LMS (Moodle) del ecosistema Aula CRC, así como la virtualización de nuevos contenidos y la adecuación de recursos pedagógicos interactivos de cursos tipo MOOC, de acuerdo con los requerimientos y lineamientos técnicos definidos por la Entidad. 
 </v>
      </c>
      <c r="F85" s="33">
        <f>[1]Procesos!F94</f>
        <v>27450000</v>
      </c>
      <c r="G85" s="13">
        <f>[1]Contratos!G86</f>
        <v>27450000</v>
      </c>
      <c r="H85" s="14" t="str">
        <f>IFERROR(VLOOKUP(A85, [1]Otrosí!A:F, 6, FALSE), "0")</f>
        <v>0</v>
      </c>
      <c r="I85" s="13">
        <f t="shared" si="4"/>
        <v>27450000</v>
      </c>
      <c r="J85" s="15">
        <v>0</v>
      </c>
      <c r="K85" s="13">
        <f t="shared" si="5"/>
        <v>27450000</v>
      </c>
      <c r="L85" s="16">
        <f t="shared" si="6"/>
        <v>0</v>
      </c>
      <c r="M85" s="17">
        <f>[1]Contratos!O86</f>
        <v>46239</v>
      </c>
      <c r="N85" s="17">
        <f>[1]Contratos!P86</f>
        <v>46245</v>
      </c>
      <c r="O85" s="17">
        <f>[1]Contratos!Q86</f>
        <v>46382</v>
      </c>
      <c r="P85" s="17" t="str">
        <f>IFERROR(VLOOKUP(A85, [1]Otrosí!A:L, 7, FALSE), "N/A")</f>
        <v>N/A</v>
      </c>
      <c r="Q85" s="18" t="s">
        <v>33</v>
      </c>
      <c r="R85" s="19" t="s">
        <v>34</v>
      </c>
      <c r="S85" s="20" t="s">
        <v>229</v>
      </c>
      <c r="T85" s="21" t="s">
        <v>36</v>
      </c>
      <c r="U85" s="10" t="str">
        <f>[1]Contratos!C86</f>
        <v>PN</v>
      </c>
      <c r="V85" s="10" t="str">
        <f>[1]Contratos!I86</f>
        <v>PEDAGOGÍA REGULATORIA</v>
      </c>
      <c r="W85" s="22" t="str">
        <f>[1]Contratos!J86</f>
        <v>RICARDO RAMÍREZ</v>
      </c>
      <c r="X85" s="23" cm="1">
        <f t="array" ref="X85">IFERROR(VLOOKUP(W85,[1]COORD!$A$30:$B$66, 2, FALSE),[1]COORD!$B$30:$B$66)</f>
        <v>79444533</v>
      </c>
      <c r="Y85" s="24" t="s">
        <v>37</v>
      </c>
      <c r="Z85" s="25">
        <v>1022385102</v>
      </c>
      <c r="AA85" s="26" t="str" cm="1">
        <f t="array" ref="AA85">IF(Y85&lt;&gt;"NIT","N/A",IF(OR(Z85="",Z85="N/A"),"N/A",IF(ISERROR(VALUE(IF(ISNUMBER(FIND("-",TEXT(Z85,"@"))),LEFT(TEXT(Z85,"@"),FIND("-",TEXT(Z85,"@"))-1),TEXT(Z85,"@")))),"N/A",IF(MOD(SUMPRODUCT(VALUE(MID(TEXT(VALUE(IF(ISNUMBER(FIND("-",TEXT(Z85,"@"))),LEFT(TEXT(Z85,"@"),FIND("-",TEXT(Z85,"@"))-1),TEXT(Z85,"@"))),"000000000000000"),{15,14,13,12,11,10,9,8,7,6,5,4,3,2,1},1)),{3,7,13,17,19,23,29,37,41,43,47,53,59,67,71}),11)=0,0,IF(MOD(SUMPRODUCT(VALUE(MID(TEXT(VALUE(IF(ISNUMBER(FIND("-",TEXT(Z85,"@"))),LEFT(TEXT(Z85,"@"),FIND("-",TEXT(Z85,"@"))-1),TEXT(Z85,"@"))),"000000000000000"),{15,14,13,12,11,10,9,8,7,6,5,4,3,2,1},1)),{3,7,13,17,19,23,29,37,41,43,47,53,59,67,71}),11)=1,1,11-MOD(SUMPRODUCT(VALUE(MID(TEXT(VALUE(IF(ISNUMBER(FIND("-",TEXT(Z85,"@"))),LEFT(TEXT(Z85,"@"),FIND("-",TEXT(Z85,"@"))-1),TEXT(Z85,"@"))),"000000000000000"),{15,14,13,12,11,10,9,8,7,6,5,4,3,2,1},1)),{3,7,13,17,19,23,29,37,41,43,47,53,59,67,71}),11))))))</f>
        <v>N/A</v>
      </c>
      <c r="AB85" s="34" t="s">
        <v>230</v>
      </c>
      <c r="AC85" s="29">
        <f>O85-M85</f>
        <v>143</v>
      </c>
      <c r="AD85" s="19">
        <v>17226</v>
      </c>
      <c r="AE85" s="19">
        <v>28626</v>
      </c>
      <c r="AF85" s="19" t="s">
        <v>39</v>
      </c>
    </row>
    <row r="86" spans="1:32" ht="87.5" x14ac:dyDescent="0.35">
      <c r="A86" s="1" t="str">
        <f>[1]Contratos!A87</f>
        <v>CONTRATO 86 DE 2026</v>
      </c>
      <c r="B86" s="10" t="str">
        <f>[1]Contratos!B87</f>
        <v xml:space="preserve">STATISTA </v>
      </c>
      <c r="C86" s="10" t="str">
        <f>[1]Contratos!E87</f>
        <v>Contratación directa</v>
      </c>
      <c r="D86" s="10" t="s">
        <v>231</v>
      </c>
      <c r="E86" s="11" t="str">
        <f>[1]Contratos!F87</f>
        <v>Contratar la suscripción a la plataforma web de STATISTA (www.statista.com) que provee información global de indicadores y estadísticas sobre diferentes sectores de la economía. El objeto será ejecutado de acuerdo con las condiciones técnicas de acceso a la plataforma que STATISTA tiene de manera general para sus Usuarios y por tanto no se considera exclusiva para LA COMISIÓN</v>
      </c>
      <c r="F86" s="33">
        <f>[1]Procesos!F97</f>
        <v>161297800</v>
      </c>
      <c r="G86" s="13">
        <f>[1]Contratos!G87</f>
        <v>161297800</v>
      </c>
      <c r="H86" s="14" t="str">
        <f>IFERROR(VLOOKUP(A86, [1]Otrosí!A:F, 6, FALSE), "0")</f>
        <v>0</v>
      </c>
      <c r="I86" s="13">
        <f t="shared" si="4"/>
        <v>161297800</v>
      </c>
      <c r="J86" s="15">
        <v>0</v>
      </c>
      <c r="K86" s="13">
        <f t="shared" si="5"/>
        <v>161297800</v>
      </c>
      <c r="L86" s="16">
        <f t="shared" si="6"/>
        <v>0</v>
      </c>
      <c r="M86" s="17">
        <f>[1]Contratos!O87</f>
        <v>46245</v>
      </c>
      <c r="N86" s="17">
        <f>[1]Contratos!P87</f>
        <v>46246</v>
      </c>
      <c r="O86" s="17">
        <f>[1]Contratos!Q87</f>
        <v>46245</v>
      </c>
      <c r="P86" s="17" t="str">
        <f>IFERROR(VLOOKUP(A86, [1]Otrosí!A:L, 7, FALSE), "N/A")</f>
        <v>N/A</v>
      </c>
      <c r="Q86" s="18" t="s">
        <v>73</v>
      </c>
      <c r="R86" s="19"/>
      <c r="S86" s="31" t="s">
        <v>232</v>
      </c>
      <c r="T86" s="21"/>
      <c r="U86" s="10" t="str">
        <f>[1]Contratos!C87</f>
        <v>PJ</v>
      </c>
      <c r="V86" s="10" t="str">
        <f>[1]Contratos!I87</f>
        <v>PEDAGOGÍA REGULATORIA</v>
      </c>
      <c r="W86" s="22" t="str">
        <f>[1]Contratos!J87</f>
        <v>RICARDO RAMÍREZ</v>
      </c>
      <c r="X86" s="23" cm="1">
        <f t="array" ref="X86">IFERROR(VLOOKUP(W86,[1]COORD!$A$30:$B$66, 2, FALSE),[1]COORD!$B$30:$B$66)</f>
        <v>79444533</v>
      </c>
      <c r="Y86" s="24"/>
      <c r="Z86" s="25">
        <v>990367549</v>
      </c>
      <c r="AA86" s="26" cm="1">
        <f t="array" ref="AA86">IF(OR(Z86="",Z86="N/A"),"N/A",IF(ISERROR(VALUE(IF(ISNUMBER(FIND("-",TEXT(Z86,"@"))),LEFT(TEXT(Z86,"@"),FIND("-",TEXT(Z86,"@"))-1),TEXT(Z86,"@")))),"N/A",IF(MOD(SUMPRODUCT(VALUE(MID(TEXT(VALUE(IF(ISNUMBER(FIND("-",TEXT(Z86,"@"))),LEFT(TEXT(Z86,"@"),FIND("-",TEXT(Z86,"@"))-1),TEXT(Z86,"@"))),"000000000000000"),{15,14,13,12,11,10,9,8,7,6,5,4,3,2,1},1)),{3,7,13,17,19,23,29,37,41,43,47,53,59,67,71}),11)=0,0,IF(MOD(SUMPRODUCT(VALUE(MID(TEXT(VALUE(IF(ISNUMBER(FIND("-",TEXT(Z86,"@"))),LEFT(TEXT(Z86,"@"),FIND("-",TEXT(Z86,"@"))-1),TEXT(Z86,"@"))),"000000000000000"),{15,14,13,12,11,10,9,8,7,6,5,4,3,2,1},1)),{3,7,13,17,19,23,29,37,41,43,47,53,59,67,71}),11)=1,1,11-MOD(SUMPRODUCT(VALUE(MID(TEXT(VALUE(IF(ISNUMBER(FIND("-",TEXT(Z86,"@"))),LEFT(TEXT(Z86,"@"),FIND("-",TEXT(Z86,"@"))-1),TEXT(Z86,"@"))),"000000000000000"),{15,14,13,12,11,10,9,8,7,6,5,4,3,2,1},1)),{3,7,13,17,19,23,29,37,41,43,47,53,59,67,71}),11)))))</f>
        <v>9</v>
      </c>
      <c r="AB86" s="26">
        <v>81112106</v>
      </c>
      <c r="AC86" s="29">
        <f>O86-M86</f>
        <v>0</v>
      </c>
      <c r="AD86" s="19">
        <v>17326</v>
      </c>
      <c r="AE86" s="19">
        <v>29526</v>
      </c>
      <c r="AF86" s="19" t="s">
        <v>39</v>
      </c>
    </row>
    <row r="87" spans="1:32" ht="137.5" x14ac:dyDescent="0.35">
      <c r="A87" s="1" t="str">
        <f>[1]Contratos!A88</f>
        <v>CONTRATO 87 DE 2026</v>
      </c>
      <c r="B87" s="10" t="str">
        <f>[1]Contratos!B88</f>
        <v>WEXLER</v>
      </c>
      <c r="C87" s="10" t="str">
        <f>[1]Contratos!E88</f>
        <v>Selección Abreviada de Menor Cuantía</v>
      </c>
      <c r="D87" s="10" t="s">
        <v>233</v>
      </c>
      <c r="E87" s="11" t="str">
        <f>[1]Contratos!F88</f>
        <v>la Renovación de las licencias y los servicios de soporte técnico especializado por un (1) año, que incluya el fortalecimiento, la configuración, parametrización, optimización y apoyo a la gestión de los equipos de comunicaciones y de seguridad perimetral, requeridas para garantizar la operación de la infraestructura híbrida y a los usuarios finales de la Entidad; así como el suministro e instalación de nuevos Access Point con su respectivo licenciamiento y soporte, la migración a la solución de detección y respuesta extendida (XDR) y la implementación de suscripción de seguridad SaaS para correo electrónico</v>
      </c>
      <c r="F87" s="33">
        <f>[1]Procesos!F83</f>
        <v>432964768</v>
      </c>
      <c r="G87" s="13">
        <f>[1]Contratos!G88</f>
        <v>431121316</v>
      </c>
      <c r="H87" s="14" t="str">
        <f>IFERROR(VLOOKUP(A87, [1]Otrosí!A:F, 6, FALSE), "0")</f>
        <v>0</v>
      </c>
      <c r="I87" s="13">
        <f t="shared" si="4"/>
        <v>431121316</v>
      </c>
      <c r="J87" s="15">
        <v>0</v>
      </c>
      <c r="K87" s="13">
        <f t="shared" si="5"/>
        <v>431121316</v>
      </c>
      <c r="L87" s="16">
        <f t="shared" si="6"/>
        <v>0</v>
      </c>
      <c r="M87" s="17">
        <f>[1]Contratos!O88</f>
        <v>46239</v>
      </c>
      <c r="N87" s="17">
        <f>[1]Contratos!P88</f>
        <v>46252</v>
      </c>
      <c r="O87" s="17">
        <f>[1]Contratos!Q88</f>
        <v>46661</v>
      </c>
      <c r="P87" s="17" t="str">
        <f>IFERROR(VLOOKUP(A87, [1]Otrosí!A:L, 7, FALSE), "N/A")</f>
        <v>N/A</v>
      </c>
      <c r="Q87" s="18" t="s">
        <v>73</v>
      </c>
      <c r="R87" s="19" t="s">
        <v>34</v>
      </c>
      <c r="S87" s="31" t="s">
        <v>234</v>
      </c>
      <c r="T87" s="21" t="s">
        <v>220</v>
      </c>
      <c r="U87" s="10" t="str">
        <f>[1]Contratos!C88</f>
        <v>PJ</v>
      </c>
      <c r="V87" s="10" t="str">
        <f>[1]Contratos!I88</f>
        <v>TECNOLOGÍAS Y SIST. DE INF.</v>
      </c>
      <c r="W87" s="22" t="str">
        <f>[1]Contratos!J88</f>
        <v>EDUIN CRUZ</v>
      </c>
      <c r="X87" s="23" cm="1">
        <f t="array" ref="X87">IFERROR(VLOOKUP(W87,[1]COORD!$A$30:$B$66, 2, FALSE),[1]COORD!$B$30:$B$66)</f>
        <v>11445828</v>
      </c>
      <c r="Y87" s="24" t="s">
        <v>75</v>
      </c>
      <c r="Z87" s="25">
        <v>900390198</v>
      </c>
      <c r="AA87" s="26" cm="1">
        <f t="array" ref="AA87">IF(OR(Z87="",Z87="N/A"),"N/A",IF(ISERROR(VALUE(IF(ISNUMBER(FIND("-",TEXT(Z87,"@"))),LEFT(TEXT(Z87,"@"),FIND("-",TEXT(Z87,"@"))-1),TEXT(Z87,"@")))),"N/A",IF(MOD(SUMPRODUCT(VALUE(MID(TEXT(VALUE(IF(ISNUMBER(FIND("-",TEXT(Z87,"@"))),LEFT(TEXT(Z87,"@"),FIND("-",TEXT(Z87,"@"))-1),TEXT(Z87,"@"))),"000000000000000"),{15,14,13,12,11,10,9,8,7,6,5,4,3,2,1},1)),{3,7,13,17,19,23,29,37,41,43,47,53,59,67,71}),11)=0,0,IF(MOD(SUMPRODUCT(VALUE(MID(TEXT(VALUE(IF(ISNUMBER(FIND("-",TEXT(Z87,"@"))),LEFT(TEXT(Z87,"@"),FIND("-",TEXT(Z87,"@"))-1),TEXT(Z87,"@"))),"000000000000000"),{15,14,13,12,11,10,9,8,7,6,5,4,3,2,1},1)),{3,7,13,17,19,23,29,37,41,43,47,53,59,67,71}),11)=1,1,11-MOD(SUMPRODUCT(VALUE(MID(TEXT(VALUE(IF(ISNUMBER(FIND("-",TEXT(Z87,"@"))),LEFT(TEXT(Z87,"@"),FIND("-",TEXT(Z87,"@"))-1),TEXT(Z87,"@"))),"000000000000000"),{15,14,13,12,11,10,9,8,7,6,5,4,3,2,1},1)),{3,7,13,17,19,23,29,37,41,43,47,53,59,67,71}),11)))))</f>
        <v>6</v>
      </c>
      <c r="AB87" s="34" t="s">
        <v>235</v>
      </c>
      <c r="AC87" s="29">
        <f>O87-M87</f>
        <v>422</v>
      </c>
      <c r="AD87" s="19">
        <v>14826</v>
      </c>
      <c r="AE87" s="19">
        <v>28926</v>
      </c>
      <c r="AF87" s="19" t="s">
        <v>39</v>
      </c>
    </row>
    <row r="88" spans="1:32" ht="72.5" x14ac:dyDescent="0.35">
      <c r="A88" s="1" t="str">
        <f>[1]Contratos!A89</f>
        <v>CONTRATO 88 DE 2026</v>
      </c>
      <c r="B88" s="10" t="str">
        <f>[1]Contratos!B89</f>
        <v>CENTRO CAR 19 LTDA</v>
      </c>
      <c r="C88" s="10" t="str">
        <f>[1]Contratos!E89</f>
        <v>Mínima cuantía</v>
      </c>
      <c r="D88" s="10" t="s">
        <v>236</v>
      </c>
      <c r="E88" s="11" t="str">
        <f>[1]Contratos!F89</f>
        <v>Mantenimiento preventivo y correctivo para los vehículos de la Comisión de Regulación
de Comunicaciones, incluyendo mano de obra, suministro de repuestos originales nuevos y otros
servicios</v>
      </c>
      <c r="F88" s="33">
        <f>[1]Procesos!F85</f>
        <v>9987981</v>
      </c>
      <c r="G88" s="13">
        <f>[1]Contratos!G89</f>
        <v>9987981</v>
      </c>
      <c r="H88" s="14" t="str">
        <f>IFERROR(VLOOKUP(A88, [1]Otrosí!A:F, 6, FALSE), "0")</f>
        <v>0</v>
      </c>
      <c r="I88" s="13">
        <f t="shared" si="4"/>
        <v>9987981</v>
      </c>
      <c r="J88" s="15">
        <v>0</v>
      </c>
      <c r="K88" s="13">
        <f t="shared" si="5"/>
        <v>9987981</v>
      </c>
      <c r="L88" s="16">
        <f t="shared" si="6"/>
        <v>0</v>
      </c>
      <c r="M88" s="17">
        <f>[1]Contratos!O89</f>
        <v>46239</v>
      </c>
      <c r="N88" s="17">
        <f>[1]Contratos!P89</f>
        <v>46254</v>
      </c>
      <c r="O88" s="17">
        <f>[1]Contratos!Q89</f>
        <v>46387</v>
      </c>
      <c r="P88" s="17" t="str">
        <f>IFERROR(VLOOKUP(A88, [1]Otrosí!A:L, 7, FALSE), "N/A")</f>
        <v>N/A</v>
      </c>
      <c r="Q88" s="18" t="s">
        <v>170</v>
      </c>
      <c r="R88" s="19" t="s">
        <v>55</v>
      </c>
      <c r="S88" s="31" t="s">
        <v>237</v>
      </c>
      <c r="T88" s="21" t="s">
        <v>220</v>
      </c>
      <c r="U88" s="10" t="str">
        <f>[1]Contratos!C89</f>
        <v>PJ</v>
      </c>
      <c r="V88" s="10" t="str">
        <f>[1]Contratos!I89</f>
        <v>GESTIÓN ADM. Y FIN</v>
      </c>
      <c r="W88" s="22" t="str">
        <f>[1]Contratos!J89</f>
        <v>DIANA WILCHES</v>
      </c>
      <c r="X88" s="23" cm="1">
        <f t="array" ref="X88">IFERROR(VLOOKUP(W88,[1]COORD!$A$30:$B$66, 2, FALSE),[1]COORD!$B$30:$B$66)</f>
        <v>40049758</v>
      </c>
      <c r="Y88" s="24" t="s">
        <v>75</v>
      </c>
      <c r="Z88" s="25">
        <v>800250589</v>
      </c>
      <c r="AA88" s="26" cm="1">
        <f t="array" ref="AA88">IF(OR(Z88="",Z88="N/A"),"N/A",IF(ISERROR(VALUE(IF(ISNUMBER(FIND("-",TEXT(Z88,"@"))),LEFT(TEXT(Z88,"@"),FIND("-",TEXT(Z88,"@"))-1),TEXT(Z88,"@")))),"N/A",IF(MOD(SUMPRODUCT(VALUE(MID(TEXT(VALUE(IF(ISNUMBER(FIND("-",TEXT(Z88,"@"))),LEFT(TEXT(Z88,"@"),FIND("-",TEXT(Z88,"@"))-1),TEXT(Z88,"@"))),"000000000000000"),{15,14,13,12,11,10,9,8,7,6,5,4,3,2,1},1)),{3,7,13,17,19,23,29,37,41,43,47,53,59,67,71}),11)=0,0,IF(MOD(SUMPRODUCT(VALUE(MID(TEXT(VALUE(IF(ISNUMBER(FIND("-",TEXT(Z88,"@"))),LEFT(TEXT(Z88,"@"),FIND("-",TEXT(Z88,"@"))-1),TEXT(Z88,"@"))),"000000000000000"),{15,14,13,12,11,10,9,8,7,6,5,4,3,2,1},1)),{3,7,13,17,19,23,29,37,41,43,47,53,59,67,71}),11)=1,1,11-MOD(SUMPRODUCT(VALUE(MID(TEXT(VALUE(IF(ISNUMBER(FIND("-",TEXT(Z88,"@"))),LEFT(TEXT(Z88,"@"),FIND("-",TEXT(Z88,"@"))-1),TEXT(Z88,"@"))),"000000000000000"),{15,14,13,12,11,10,9,8,7,6,5,4,3,2,1},1)),{3,7,13,17,19,23,29,37,41,43,47,53,59,67,71}),11)))))</f>
        <v>1</v>
      </c>
      <c r="AB88" s="26">
        <v>78181501</v>
      </c>
      <c r="AC88" s="29">
        <f>O88-M88</f>
        <v>148</v>
      </c>
      <c r="AD88" s="19">
        <v>9326</v>
      </c>
      <c r="AE88" s="19">
        <v>28826</v>
      </c>
      <c r="AF88" s="19" t="s">
        <v>39</v>
      </c>
    </row>
    <row r="89" spans="1:32" ht="100" x14ac:dyDescent="0.35">
      <c r="A89" s="1" t="str">
        <f>[1]Contratos!A90</f>
        <v>CONTRATO 89 DE 2026</v>
      </c>
      <c r="B89" s="10" t="str">
        <f>[1]Contratos!B90</f>
        <v>SANDRA ALVAREZ</v>
      </c>
      <c r="C89" s="10" t="s">
        <v>238</v>
      </c>
      <c r="D89" s="10" t="s">
        <v>239</v>
      </c>
      <c r="E89" s="11" t="str">
        <f>[1]Contratos!F90</f>
        <v>Prestar servicios profesionales para apoyar la identificación y documentación de los tipos de violencias digitales y las rutas institucionales de atención, así como para el desarrollo del componente conceptual, pedagógico y de contenidos del curso virtual sobre Violencias Digitales Basadas en Género (VDBG) mediadas por Inteligencia Artificial, bajo enfoques de derechos humanos e interseccionalidad</v>
      </c>
      <c r="F89" s="33">
        <f>[1]Procesos!F96</f>
        <v>30000000</v>
      </c>
      <c r="G89" s="13">
        <f>[1]Contratos!G90</f>
        <v>30000000</v>
      </c>
      <c r="H89" s="14" t="str">
        <f>IFERROR(VLOOKUP(A89, [1]Otrosí!A:F, 6, FALSE), "0")</f>
        <v>0</v>
      </c>
      <c r="I89" s="13">
        <f t="shared" si="4"/>
        <v>30000000</v>
      </c>
      <c r="J89" s="15">
        <v>0</v>
      </c>
      <c r="K89" s="13">
        <f t="shared" si="5"/>
        <v>30000000</v>
      </c>
      <c r="L89" s="16">
        <f t="shared" si="6"/>
        <v>0</v>
      </c>
      <c r="M89" s="17">
        <f>[1]Contratos!O90</f>
        <v>46245</v>
      </c>
      <c r="N89" s="17">
        <f>[1]Contratos!P90</f>
        <v>46246</v>
      </c>
      <c r="O89" s="17">
        <f>[1]Contratos!Q90</f>
        <v>46338</v>
      </c>
      <c r="P89" s="17" t="str">
        <f>IFERROR(VLOOKUP(A89, [1]Otrosí!A:L, 7, FALSE), "N/A")</f>
        <v>N/A</v>
      </c>
      <c r="Q89" s="18" t="s">
        <v>33</v>
      </c>
      <c r="R89" s="19" t="s">
        <v>34</v>
      </c>
      <c r="S89" s="20" t="s">
        <v>240</v>
      </c>
      <c r="T89" s="21" t="s">
        <v>220</v>
      </c>
      <c r="U89" s="10" t="str">
        <f>[1]Contratos!C90</f>
        <v>PN</v>
      </c>
      <c r="V89" s="10" t="str">
        <f>[1]Contratos!I90</f>
        <v>PEDAGOGÍA REGULATORIA</v>
      </c>
      <c r="W89" s="22" t="str">
        <f>[1]Contratos!J90</f>
        <v>RICARDO RAMÍREZ</v>
      </c>
      <c r="X89" s="23" cm="1">
        <f t="array" ref="X89">IFERROR(VLOOKUP(W89,[1]COORD!$A$30:$B$66, 2, FALSE),[1]COORD!$B$30:$B$66)</f>
        <v>79444533</v>
      </c>
      <c r="Y89" s="24" t="s">
        <v>37</v>
      </c>
      <c r="Z89" s="25">
        <v>43983829</v>
      </c>
      <c r="AA89" s="26" t="str" cm="1">
        <f t="array" ref="AA89">IF(Y89&lt;&gt;"NIT","N/A",IF(OR(Z89="",Z89="N/A"),"N/A",IF(ISERROR(VALUE(IF(ISNUMBER(FIND("-",TEXT(Z89,"@"))),LEFT(TEXT(Z89,"@"),FIND("-",TEXT(Z89,"@"))-1),TEXT(Z89,"@")))),"N/A",IF(MOD(SUMPRODUCT(VALUE(MID(TEXT(VALUE(IF(ISNUMBER(FIND("-",TEXT(Z89,"@"))),LEFT(TEXT(Z89,"@"),FIND("-",TEXT(Z89,"@"))-1),TEXT(Z89,"@"))),"000000000000000"),{15,14,13,12,11,10,9,8,7,6,5,4,3,2,1},1)),{3,7,13,17,19,23,29,37,41,43,47,53,59,67,71}),11)=0,0,IF(MOD(SUMPRODUCT(VALUE(MID(TEXT(VALUE(IF(ISNUMBER(FIND("-",TEXT(Z89,"@"))),LEFT(TEXT(Z89,"@"),FIND("-",TEXT(Z89,"@"))-1),TEXT(Z89,"@"))),"000000000000000"),{15,14,13,12,11,10,9,8,7,6,5,4,3,2,1},1)),{3,7,13,17,19,23,29,37,41,43,47,53,59,67,71}),11)=1,1,11-MOD(SUMPRODUCT(VALUE(MID(TEXT(VALUE(IF(ISNUMBER(FIND("-",TEXT(Z89,"@"))),LEFT(TEXT(Z89,"@"),FIND("-",TEXT(Z89,"@"))-1),TEXT(Z89,"@"))),"000000000000000"),{15,14,13,12,11,10,9,8,7,6,5,4,3,2,1},1)),{3,7,13,17,19,23,29,37,41,43,47,53,59,67,71}),11))))))</f>
        <v>N/A</v>
      </c>
      <c r="AB89" s="26">
        <v>80101505</v>
      </c>
      <c r="AC89" s="29">
        <f>O89-M89</f>
        <v>93</v>
      </c>
      <c r="AD89" s="19">
        <v>17626</v>
      </c>
      <c r="AE89" s="19">
        <v>29326</v>
      </c>
      <c r="AF89" s="19" t="s">
        <v>39</v>
      </c>
    </row>
    <row r="90" spans="1:32" ht="62.5" x14ac:dyDescent="0.35">
      <c r="A90" s="1" t="str">
        <f>[1]Contratos!A91</f>
        <v>CONTRATO 90 DE 2026</v>
      </c>
      <c r="B90" s="10" t="str">
        <f>[1]Contratos!B91</f>
        <v>LH URBAN CHIC S.A.S.</v>
      </c>
      <c r="C90" s="10" t="str">
        <f>[1]Contratos!E91</f>
        <v>Mínima cuantía</v>
      </c>
      <c r="D90" s="10" t="s">
        <v>241</v>
      </c>
      <c r="E90" s="11" t="str">
        <f>[1]Contratos!F91</f>
        <v>Contratar la adquisición de bonos de dotación canjeables única y exclusivamente para la compra de vestuario y calzado para los funcionarios de la Comisión de Regulación de Comunicaciones – CRC, que tengan o adquieran el derecho en la vigencia 2026</v>
      </c>
      <c r="F90" s="33">
        <f>[1]Procesos!F88</f>
        <v>27033600</v>
      </c>
      <c r="G90" s="13">
        <f>[1]Contratos!G91</f>
        <v>19360000</v>
      </c>
      <c r="H90" s="14" t="str">
        <f>IFERROR(VLOOKUP(A90, [1]Otrosí!A:F, 6, FALSE), "0")</f>
        <v>0</v>
      </c>
      <c r="I90" s="13">
        <f t="shared" si="4"/>
        <v>19360000</v>
      </c>
      <c r="J90" s="15">
        <v>0</v>
      </c>
      <c r="K90" s="13">
        <f t="shared" si="5"/>
        <v>19360000</v>
      </c>
      <c r="L90" s="16">
        <f t="shared" si="6"/>
        <v>0</v>
      </c>
      <c r="M90" s="17">
        <f>[1]Contratos!O91</f>
        <v>46248</v>
      </c>
      <c r="N90" s="17">
        <f>[1]Contratos!P91</f>
        <v>46253</v>
      </c>
      <c r="O90" s="17">
        <f>[1]Contratos!Q91</f>
        <v>46371</v>
      </c>
      <c r="P90" s="17" t="str">
        <f>IFERROR(VLOOKUP(A90, [1]Otrosí!A:L, 7, FALSE), "N/A")</f>
        <v>N/A</v>
      </c>
      <c r="Q90" s="18" t="s">
        <v>170</v>
      </c>
      <c r="R90" s="19"/>
      <c r="S90" s="20" t="s">
        <v>242</v>
      </c>
      <c r="T90" s="21"/>
      <c r="U90" s="10" t="str">
        <f>[1]Contratos!C91</f>
        <v>PJ</v>
      </c>
      <c r="V90" s="10" t="str">
        <f>[1]Contratos!I91</f>
        <v>GESTIÓN ADM. Y FIN</v>
      </c>
      <c r="W90" s="22" t="str">
        <f>[1]Contratos!J91</f>
        <v>LUIS JORGE GUEVARA</v>
      </c>
      <c r="X90" s="23" cm="1">
        <f t="array" ref="X90">IFERROR(VLOOKUP(W90,[1]COORD!$A$30:$B$66, 2, FALSE),[1]COORD!$B$30:$B$66)</f>
        <v>80811747</v>
      </c>
      <c r="Y90" s="24" t="s">
        <v>75</v>
      </c>
      <c r="Z90" s="25">
        <v>901580502</v>
      </c>
      <c r="AA90" s="26" cm="1">
        <f t="array" ref="AA90">IF(OR(Z90="",Z90="N/A"),"N/A",IF(ISERROR(VALUE(IF(ISNUMBER(FIND("-",TEXT(Z90,"@"))),LEFT(TEXT(Z90,"@"),FIND("-",TEXT(Z90,"@"))-1),TEXT(Z90,"@")))),"N/A",IF(MOD(SUMPRODUCT(VALUE(MID(TEXT(VALUE(IF(ISNUMBER(FIND("-",TEXT(Z90,"@"))),LEFT(TEXT(Z90,"@"),FIND("-",TEXT(Z90,"@"))-1),TEXT(Z90,"@"))),"000000000000000"),{15,14,13,12,11,10,9,8,7,6,5,4,3,2,1},1)),{3,7,13,17,19,23,29,37,41,43,47,53,59,67,71}),11)=0,0,IF(MOD(SUMPRODUCT(VALUE(MID(TEXT(VALUE(IF(ISNUMBER(FIND("-",TEXT(Z90,"@"))),LEFT(TEXT(Z90,"@"),FIND("-",TEXT(Z90,"@"))-1),TEXT(Z90,"@"))),"000000000000000"),{15,14,13,12,11,10,9,8,7,6,5,4,3,2,1},1)),{3,7,13,17,19,23,29,37,41,43,47,53,59,67,71}),11)=1,1,11-MOD(SUMPRODUCT(VALUE(MID(TEXT(VALUE(IF(ISNUMBER(FIND("-",TEXT(Z90,"@"))),LEFT(TEXT(Z90,"@"),FIND("-",TEXT(Z90,"@"))-1),TEXT(Z90,"@"))),"000000000000000"),{15,14,13,12,11,10,9,8,7,6,5,4,3,2,1},1)),{3,7,13,17,19,23,29,37,41,43,47,53,59,67,71}),11)))))</f>
        <v>1</v>
      </c>
      <c r="AB90" s="26">
        <v>53101602</v>
      </c>
      <c r="AC90" s="29">
        <f>O90-M90</f>
        <v>123</v>
      </c>
      <c r="AD90" s="19">
        <v>16226</v>
      </c>
      <c r="AE90" s="19">
        <v>29626</v>
      </c>
      <c r="AF90" s="19" t="s">
        <v>39</v>
      </c>
    </row>
    <row r="91" spans="1:32" ht="137.5" x14ac:dyDescent="0.35">
      <c r="A91" s="1" t="str">
        <f>[1]Contratos!A92</f>
        <v>CONTRATO 91 DE 2026</v>
      </c>
      <c r="B91" s="10" t="str">
        <f>[1]Contratos!B92</f>
        <v>MAICOL PEÑA</v>
      </c>
      <c r="C91" s="10" t="str">
        <f>[1]Contratos!E92</f>
        <v>Prestación de servicios profesionales o Apoyo a la gestión</v>
      </c>
      <c r="D91" s="10" t="s">
        <v>243</v>
      </c>
      <c r="E91" s="11" t="str">
        <f>[1]Contratos!F92</f>
        <v>Prestar los servicios profesionales especializados como Analista de Requerimientos y Pruebas QA, brindando apoyo técnico en el levantamiento de requerimientos técnicos y funcionales, el diseño de casos de pruebas y el aseguramiento de la calidad de software, mediante la ejecución de pruebas funcionales y no funcionales sobre los desarrollos implementados en el Centro Interactivo de Recursos Pedagógicos y en el entorno LMS Moodle del ecosistema Aula CRC, de conformidad con los lineamientos y requerimientos definidos por la Comisión de Regulación de Comunicaciones.</v>
      </c>
      <c r="F91" s="33">
        <f>[1]Procesos!F95</f>
        <v>36000000</v>
      </c>
      <c r="G91" s="13">
        <f>[1]Contratos!G92</f>
        <v>36000000</v>
      </c>
      <c r="H91" s="14" t="str">
        <f>IFERROR(VLOOKUP(A91, [1]Otrosí!A:F, 6, FALSE), "0")</f>
        <v>0</v>
      </c>
      <c r="I91" s="13">
        <f t="shared" si="4"/>
        <v>36000000</v>
      </c>
      <c r="J91" s="15">
        <v>0</v>
      </c>
      <c r="K91" s="13">
        <f t="shared" si="5"/>
        <v>36000000</v>
      </c>
      <c r="L91" s="16">
        <f t="shared" si="6"/>
        <v>0</v>
      </c>
      <c r="M91" s="17">
        <f>[1]Contratos!O92</f>
        <v>46245</v>
      </c>
      <c r="N91" s="17">
        <f>[1]Contratos!P92</f>
        <v>46246</v>
      </c>
      <c r="O91" s="17">
        <f>[1]Contratos!Q92</f>
        <v>46383</v>
      </c>
      <c r="P91" s="17" t="str">
        <f>IFERROR(VLOOKUP(A91, [1]Otrosí!A:L, 7, FALSE), "N/A")</f>
        <v>N/A</v>
      </c>
      <c r="Q91" s="18" t="s">
        <v>33</v>
      </c>
      <c r="R91" s="19" t="s">
        <v>34</v>
      </c>
      <c r="S91" s="20" t="s">
        <v>244</v>
      </c>
      <c r="T91" s="21" t="s">
        <v>220</v>
      </c>
      <c r="U91" s="10" t="str">
        <f>[1]Contratos!C92</f>
        <v>PN</v>
      </c>
      <c r="V91" s="10" t="str">
        <f>[1]Contratos!I92</f>
        <v>PEDAGOGÍA REGULATORIA / TECNOLOGÍAS Y SIST. DE INF.</v>
      </c>
      <c r="W91" s="22" t="str">
        <f>[1]Contratos!J92</f>
        <v>WILVER DELGADO / RICARDO RAMÍREZ</v>
      </c>
      <c r="X91" s="23" t="str" cm="1">
        <f t="array" ref="X91">IFERROR(VLOOKUP(W91,[1]COORD!$A$30:$B$66, 2, FALSE),[1]COORD!$B$30:$B$66)</f>
        <v>13747812 / 79444533</v>
      </c>
      <c r="Y91" s="24" t="s">
        <v>37</v>
      </c>
      <c r="Z91" s="25">
        <v>1075255999</v>
      </c>
      <c r="AA91" s="26" t="str" cm="1">
        <f t="array" ref="AA91">IF(Y91&lt;&gt;"NIT","N/A",IF(OR(Z91="",Z91="N/A"),"N/A",IF(ISERROR(VALUE(IF(ISNUMBER(FIND("-",TEXT(Z91,"@"))),LEFT(TEXT(Z91,"@"),FIND("-",TEXT(Z91,"@"))-1),TEXT(Z91,"@")))),"N/A",IF(MOD(SUMPRODUCT(VALUE(MID(TEXT(VALUE(IF(ISNUMBER(FIND("-",TEXT(Z91,"@"))),LEFT(TEXT(Z91,"@"),FIND("-",TEXT(Z91,"@"))-1),TEXT(Z91,"@"))),"000000000000000"),{15,14,13,12,11,10,9,8,7,6,5,4,3,2,1},1)),{3,7,13,17,19,23,29,37,41,43,47,53,59,67,71}),11)=0,0,IF(MOD(SUMPRODUCT(VALUE(MID(TEXT(VALUE(IF(ISNUMBER(FIND("-",TEXT(Z91,"@"))),LEFT(TEXT(Z91,"@"),FIND("-",TEXT(Z91,"@"))-1),TEXT(Z91,"@"))),"000000000000000"),{15,14,13,12,11,10,9,8,7,6,5,4,3,2,1},1)),{3,7,13,17,19,23,29,37,41,43,47,53,59,67,71}),11)=1,1,11-MOD(SUMPRODUCT(VALUE(MID(TEXT(VALUE(IF(ISNUMBER(FIND("-",TEXT(Z91,"@"))),LEFT(TEXT(Z91,"@"),FIND("-",TEXT(Z91,"@"))-1),TEXT(Z91,"@"))),"000000000000000"),{15,14,13,12,11,10,9,8,7,6,5,4,3,2,1},1)),{3,7,13,17,19,23,29,37,41,43,47,53,59,67,71}),11))))))</f>
        <v>N/A</v>
      </c>
      <c r="AB91" s="26">
        <v>81111507</v>
      </c>
      <c r="AC91" s="29">
        <f>O91-M91</f>
        <v>138</v>
      </c>
      <c r="AD91" s="19">
        <v>17726</v>
      </c>
      <c r="AE91" s="19">
        <v>29426</v>
      </c>
      <c r="AF91" s="19" t="s">
        <v>39</v>
      </c>
    </row>
    <row r="92" spans="1:32" ht="100" x14ac:dyDescent="0.35">
      <c r="A92" s="1" t="str">
        <f>[1]Contratos!A93</f>
        <v>CONTRATO 92 DE 2026</v>
      </c>
      <c r="B92" s="10" t="str">
        <f>[1]Contratos!B93</f>
        <v>ALL TECHNOLOGICAL SERVICES ATS S A S</v>
      </c>
      <c r="C92" s="10" t="str">
        <f>[1]Contratos!E93</f>
        <v>Mínima cuantía</v>
      </c>
      <c r="D92" s="10" t="s">
        <v>245</v>
      </c>
      <c r="E92" s="11" t="str">
        <f>[1]Contratos!F93</f>
        <v>Contratar la prestación del servicio de mantenimiento preventivo y correctivo de los equipos, Facilities e infraestructura de Tecnologías de Información y Comunicaciones utilizados por la Comisión de Regulación de Comunicaciones, incluyendo el suministro e instalación de repuestos, partes y o accesorios originales no remanufacturados que se requieran con el fin de asegurar su funcionamiento continuo y confiable.</v>
      </c>
      <c r="F92" s="33">
        <f>[1]Procesos!F89</f>
        <v>35763500</v>
      </c>
      <c r="G92" s="13">
        <f>[1]Contratos!G93</f>
        <v>29990215</v>
      </c>
      <c r="H92" s="14" t="str">
        <f>IFERROR(VLOOKUP(A92, [1]Otrosí!A:F, 6, FALSE), "0")</f>
        <v>0</v>
      </c>
      <c r="I92" s="13">
        <f t="shared" si="4"/>
        <v>29990215</v>
      </c>
      <c r="J92" s="15">
        <v>0</v>
      </c>
      <c r="K92" s="13">
        <f t="shared" si="5"/>
        <v>29990215</v>
      </c>
      <c r="L92" s="16">
        <f t="shared" si="6"/>
        <v>0</v>
      </c>
      <c r="M92" s="17">
        <f>[1]Contratos!O93</f>
        <v>46252</v>
      </c>
      <c r="N92" s="17">
        <f>[1]Contratos!P93</f>
        <v>46258</v>
      </c>
      <c r="O92" s="17">
        <f>[1]Contratos!Q93</f>
        <v>46371</v>
      </c>
      <c r="P92" s="17" t="str">
        <f>IFERROR(VLOOKUP(A92, [1]Otrosí!A:L, 7, FALSE), "N/A")</f>
        <v>N/A</v>
      </c>
      <c r="Q92" s="18" t="s">
        <v>170</v>
      </c>
      <c r="R92" s="19"/>
      <c r="S92" s="31" t="s">
        <v>246</v>
      </c>
      <c r="T92" s="21"/>
      <c r="U92" s="10" t="str">
        <f>[1]Contratos!C93</f>
        <v>PJ</v>
      </c>
      <c r="V92" s="10" t="str">
        <f>[1]Contratos!I93</f>
        <v>TECNOLOGÍAS Y SIST. DE INF.</v>
      </c>
      <c r="W92" s="22" t="str">
        <f>[1]Contratos!J93</f>
        <v>JEISSON PULIDO</v>
      </c>
      <c r="X92" s="23" cm="1">
        <f t="array" ref="X92">IFERROR(VLOOKUP(W92,[1]COORD!$A$30:$B$66, 2, FALSE),[1]COORD!$B$30:$B$66)</f>
        <v>1023914725</v>
      </c>
      <c r="Y92" s="24" t="s">
        <v>75</v>
      </c>
      <c r="Z92" s="25">
        <v>900627060</v>
      </c>
      <c r="AA92" s="26" cm="1">
        <f t="array" ref="AA92">IF(OR(Z92="",Z92="N/A"),"N/A",IF(ISERROR(VALUE(IF(ISNUMBER(FIND("-",TEXT(Z92,"@"))),LEFT(TEXT(Z92,"@"),FIND("-",TEXT(Z92,"@"))-1),TEXT(Z92,"@")))),"N/A",IF(MOD(SUMPRODUCT(VALUE(MID(TEXT(VALUE(IF(ISNUMBER(FIND("-",TEXT(Z92,"@"))),LEFT(TEXT(Z92,"@"),FIND("-",TEXT(Z92,"@"))-1),TEXT(Z92,"@"))),"000000000000000"),{15,14,13,12,11,10,9,8,7,6,5,4,3,2,1},1)),{3,7,13,17,19,23,29,37,41,43,47,53,59,67,71}),11)=0,0,IF(MOD(SUMPRODUCT(VALUE(MID(TEXT(VALUE(IF(ISNUMBER(FIND("-",TEXT(Z92,"@"))),LEFT(TEXT(Z92,"@"),FIND("-",TEXT(Z92,"@"))-1),TEXT(Z92,"@"))),"000000000000000"),{15,14,13,12,11,10,9,8,7,6,5,4,3,2,1},1)),{3,7,13,17,19,23,29,37,41,43,47,53,59,67,71}),11)=1,1,11-MOD(SUMPRODUCT(VALUE(MID(TEXT(VALUE(IF(ISNUMBER(FIND("-",TEXT(Z92,"@"))),LEFT(TEXT(Z92,"@"),FIND("-",TEXT(Z92,"@"))-1),TEXT(Z92,"@"))),"000000000000000"),{15,14,13,12,11,10,9,8,7,6,5,4,3,2,1},1)),{3,7,13,17,19,23,29,37,41,43,47,53,59,67,71}),11)))))</f>
        <v>9</v>
      </c>
      <c r="AB92" s="26">
        <v>81112303</v>
      </c>
      <c r="AC92" s="29">
        <f>O92-M92</f>
        <v>119</v>
      </c>
      <c r="AD92" s="19">
        <v>16626</v>
      </c>
      <c r="AE92" s="19">
        <v>29926</v>
      </c>
      <c r="AF92" s="19" t="s">
        <v>39</v>
      </c>
    </row>
    <row r="1048232" spans="28:28" ht="54.75" customHeight="1" x14ac:dyDescent="0.35">
      <c r="AB1048232" s="41"/>
    </row>
    <row r="1048233" spans="28:28" ht="54.75" customHeight="1" x14ac:dyDescent="0.35">
      <c r="AB1048233" s="27"/>
    </row>
    <row r="1048234" spans="28:28" ht="54.75" customHeight="1" x14ac:dyDescent="0.35">
      <c r="AB1048234" s="27"/>
    </row>
    <row r="1048235" spans="28:28" ht="54.75" customHeight="1" x14ac:dyDescent="0.35">
      <c r="AB1048235" s="27"/>
    </row>
    <row r="1048236" spans="28:28" ht="54.75" customHeight="1" x14ac:dyDescent="0.35">
      <c r="AB1048236" s="27"/>
    </row>
    <row r="1048237" spans="28:28" ht="54.75" customHeight="1" x14ac:dyDescent="0.35">
      <c r="AB1048237" s="27"/>
    </row>
    <row r="1048300" spans="29:29" ht="54.75" customHeight="1" x14ac:dyDescent="0.35">
      <c r="AC1048300" s="8"/>
    </row>
    <row r="1048301" spans="29:29" ht="54.75" customHeight="1" x14ac:dyDescent="0.35">
      <c r="AC1048301" s="28"/>
    </row>
    <row r="1048302" spans="29:29" ht="54.75" customHeight="1" x14ac:dyDescent="0.35">
      <c r="AC1048302" s="28"/>
    </row>
    <row r="1048303" spans="29:29" ht="54.75" customHeight="1" x14ac:dyDescent="0.35">
      <c r="AC1048303" s="28"/>
    </row>
    <row r="1048304" spans="29:29" ht="54.75" customHeight="1" x14ac:dyDescent="0.35">
      <c r="AC1048304" s="28"/>
    </row>
    <row r="1048305" spans="29:29" ht="54.75" customHeight="1" x14ac:dyDescent="0.35">
      <c r="AC1048305" s="28"/>
    </row>
    <row r="1048306" spans="29:29" ht="54.75" customHeight="1" x14ac:dyDescent="0.35">
      <c r="AC1048306" s="28"/>
    </row>
    <row r="1048307" spans="29:29" ht="54.75" customHeight="1" x14ac:dyDescent="0.35">
      <c r="AC1048307" s="28"/>
    </row>
    <row r="1048308" spans="29:29" ht="54.75" customHeight="1" x14ac:dyDescent="0.35">
      <c r="AC1048308" s="28"/>
    </row>
  </sheetData>
  <autoFilter ref="A1:AC128" xr:uid="{B11FDCC1-B40D-4733-9D1B-15904CA89B34}"/>
  <hyperlinks>
    <hyperlink ref="S66" r:id="rId1" xr:uid="{5A4E5F4F-9FA4-4DBD-9613-1713DA44886D}"/>
    <hyperlink ref="S72" r:id="rId2" xr:uid="{57875B0E-E489-4E2F-9128-303D3284E728}"/>
    <hyperlink ref="S68" r:id="rId3" xr:uid="{47D9D966-4344-4E66-A2CF-AB27E91BCCC0}"/>
    <hyperlink ref="S75" r:id="rId4" xr:uid="{422EBBDB-EC6D-4AC3-91E7-39469BCAC1F2}"/>
    <hyperlink ref="S76" r:id="rId5" xr:uid="{DE837282-DDC8-4B25-9667-8834702567E4}"/>
    <hyperlink ref="S73" r:id="rId6" xr:uid="{185F88ED-DCBB-4462-91CC-6D8056D97E53}"/>
    <hyperlink ref="S74" r:id="rId7" xr:uid="{83AE387C-2220-4A4F-BD18-304386905917}"/>
    <hyperlink ref="S58" r:id="rId8" xr:uid="{84869CD4-B85E-4C60-8E0F-1EE479C892CD}"/>
    <hyperlink ref="S59" r:id="rId9" xr:uid="{EEF12BC8-E308-4575-8E91-0DDCAFADBEF0}"/>
    <hyperlink ref="S60" r:id="rId10" xr:uid="{E3CC60BE-9963-4DFB-89C1-761DE62E8232}"/>
    <hyperlink ref="S61" r:id="rId11" xr:uid="{8EFA9069-F6ED-426D-8453-3B7D8C608C97}"/>
    <hyperlink ref="S62" r:id="rId12" xr:uid="{62CBB95F-A6BB-45B1-B4D7-AD557232938F}"/>
    <hyperlink ref="S63" r:id="rId13" xr:uid="{81E3E906-B68C-4A64-B288-99D0D5615393}"/>
    <hyperlink ref="S64" r:id="rId14" xr:uid="{B1010C1F-35D8-4AEB-9453-7F7B2280243A}"/>
    <hyperlink ref="S65" r:id="rId15" xr:uid="{E97D2005-7813-4444-A6CC-F59F290E2F9B}"/>
    <hyperlink ref="S67" r:id="rId16" xr:uid="{C8865B6D-A610-4D05-B1FA-6A4C1E2BBD35}"/>
    <hyperlink ref="S69" r:id="rId17" xr:uid="{33CC0E8C-3A00-47D7-9497-4D52C08FAFD1}"/>
    <hyperlink ref="S70" r:id="rId18" xr:uid="{74F83419-E5BD-4C58-92E5-ACF871190116}"/>
    <hyperlink ref="S71" r:id="rId19" xr:uid="{566491AF-4FBD-45FC-957D-5363977D8C95}"/>
    <hyperlink ref="S57" r:id="rId20" xr:uid="{FA2F01CF-B052-4DC0-BF21-CC380274E8AC}"/>
    <hyperlink ref="S44" r:id="rId21" xr:uid="{954B01D1-FA0F-4097-8496-CFCADA90D6B7}"/>
    <hyperlink ref="S77" r:id="rId22" xr:uid="{45635E79-030A-43F5-A4F3-A364E8C17B9C}"/>
    <hyperlink ref="S78" r:id="rId23" xr:uid="{EDF0BF03-0E17-40D0-8517-DAC38FE170F4}"/>
    <hyperlink ref="S79" r:id="rId24" xr:uid="{EFB98778-9E42-451D-94E1-FA1D94FF2315}"/>
    <hyperlink ref="S11" r:id="rId25" xr:uid="{B47C99BF-580F-4941-BCDA-C81F338E65E2}"/>
    <hyperlink ref="S80" r:id="rId26" xr:uid="{3AD769A4-2F77-4ED3-AD17-06041760F202}"/>
    <hyperlink ref="S81" r:id="rId27" xr:uid="{B20404A3-862E-48A2-AC02-37A1F4798228}"/>
    <hyperlink ref="S82" r:id="rId28" xr:uid="{B72224A2-4264-45FB-94BB-1DE35E582BDC}"/>
    <hyperlink ref="S83" r:id="rId29" xr:uid="{232B88E3-F0B2-494B-B77A-797224BFC93C}"/>
    <hyperlink ref="S86" r:id="rId30" xr:uid="{307B52C4-7831-4666-8666-F12BA181ADE7}"/>
    <hyperlink ref="S87" r:id="rId31" xr:uid="{AE0C011E-5C5D-4C52-8AA4-DAE1BB61F1A9}"/>
    <hyperlink ref="S88" r:id="rId32" xr:uid="{13898D70-46CB-4385-8E93-6336EB3CEED7}"/>
    <hyperlink ref="S92" r:id="rId33" xr:uid="{54CABF03-BB06-4E9F-BA5C-589AE0BADAD6}"/>
  </hyperlinks>
  <pageMargins left="0.7" right="0.7" top="0.75" bottom="0.75" header="0.3" footer="0.3"/>
  <pageSetup orientation="portrait"/>
  <headerFooter>
    <oddHeader>&amp;R&amp;"Aptos"&amp;10&amp;KFF0000 Información pública&amp;1#_x000D_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Arturo Guzmán Ramírez</dc:creator>
  <cp:lastModifiedBy>Carlos Arturo Guzmán Ramírez</cp:lastModifiedBy>
  <dcterms:created xsi:type="dcterms:W3CDTF">2026-08-24T23:05:04Z</dcterms:created>
  <dcterms:modified xsi:type="dcterms:W3CDTF">2026-08-24T23:09:09Z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9276b6-75f1-4620-a6a2-153244a3486e_Enabled">
    <vt:lpwstr>true</vt:lpwstr>
  </property>
  <property fmtid="{D5CDD505-2E9C-101B-9397-08002B2CF9AE}" pid="3" name="MSIP_Label_7c9276b6-75f1-4620-a6a2-153244a3486e_SetDate">
    <vt:lpwstr>2026-08-24T23:06:55Z</vt:lpwstr>
  </property>
  <property fmtid="{D5CDD505-2E9C-101B-9397-08002B2CF9AE}" pid="4" name="MSIP_Label_7c9276b6-75f1-4620-a6a2-153244a3486e_Method">
    <vt:lpwstr>Privileged</vt:lpwstr>
  </property>
  <property fmtid="{D5CDD505-2E9C-101B-9397-08002B2CF9AE}" pid="5" name="MSIP_Label_7c9276b6-75f1-4620-a6a2-153244a3486e_Name">
    <vt:lpwstr>Pru_Pública</vt:lpwstr>
  </property>
  <property fmtid="{D5CDD505-2E9C-101B-9397-08002B2CF9AE}" pid="6" name="MSIP_Label_7c9276b6-75f1-4620-a6a2-153244a3486e_SiteId">
    <vt:lpwstr>2cdab013-7b2d-4428-b384-326c870248c1</vt:lpwstr>
  </property>
  <property fmtid="{D5CDD505-2E9C-101B-9397-08002B2CF9AE}" pid="7" name="MSIP_Label_7c9276b6-75f1-4620-a6a2-153244a3486e_ActionId">
    <vt:lpwstr>96d3e3ca-e851-4188-abd9-7f5154516cb2</vt:lpwstr>
  </property>
  <property fmtid="{D5CDD505-2E9C-101B-9397-08002B2CF9AE}" pid="8" name="MSIP_Label_7c9276b6-75f1-4620-a6a2-153244a3486e_ContentBits">
    <vt:lpwstr>1</vt:lpwstr>
  </property>
  <property fmtid="{D5CDD505-2E9C-101B-9397-08002B2CF9AE}" pid="9" name="MSIP_Label_7c9276b6-75f1-4620-a6a2-153244a3486e_Tag">
    <vt:lpwstr>10, 0, 1, 1</vt:lpwstr>
  </property>
</Properties>
</file>