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risty.vivas\Downloads\"/>
    </mc:Choice>
  </mc:AlternateContent>
  <xr:revisionPtr revIDLastSave="0" documentId="13_ncr:1_{5CFC5C81-A7BC-4943-AD04-0CC3193A32CC}" xr6:coauthVersionLast="47" xr6:coauthVersionMax="47" xr10:uidLastSave="{00000000-0000-0000-0000-000000000000}"/>
  <bookViews>
    <workbookView xWindow="-120" yWindow="-120" windowWidth="20730" windowHeight="11040" xr2:uid="{A2F60CDC-94C0-41AB-B008-5C9C6E244083}"/>
  </bookViews>
  <sheets>
    <sheet name="Presentación" sheetId="1" r:id="rId1"/>
    <sheet name="Tarifas_Sector_Eléctrico" sheetId="2" r:id="rId2"/>
    <sheet name="Tarifas_Sector_TELCO" sheetId="8" r:id="rId3"/>
    <sheet name="Metodología_Aplicada" sheetId="3" r:id="rId4"/>
    <sheet name="IPP" sheetId="7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19" i="2"/>
  <c r="D9" i="2"/>
  <c r="N6" i="7"/>
  <c r="E18" i="8"/>
  <c r="F18" i="8" s="1"/>
  <c r="E19" i="8"/>
  <c r="E20" i="8"/>
  <c r="E21" i="8"/>
  <c r="F21" i="8" s="1"/>
  <c r="E17" i="8"/>
  <c r="E20" i="2"/>
  <c r="E21" i="2"/>
  <c r="L6" i="7"/>
  <c r="M6" i="7"/>
  <c r="N5" i="7"/>
  <c r="F19" i="8"/>
  <c r="F20" i="8"/>
  <c r="F17" i="8"/>
  <c r="F17" i="2"/>
  <c r="H17" i="8" l="1"/>
  <c r="G17" i="8"/>
  <c r="G20" i="8"/>
  <c r="F18" i="2" l="1"/>
  <c r="F19" i="2"/>
  <c r="F20" i="2"/>
  <c r="F21" i="2"/>
  <c r="G21" i="2" s="1"/>
  <c r="G21" i="8"/>
  <c r="M5" i="7"/>
  <c r="H21" i="8" l="1"/>
  <c r="H20" i="8"/>
  <c r="J20" i="8" s="1"/>
  <c r="K20" i="8" s="1"/>
  <c r="H19" i="8"/>
  <c r="G19" i="8"/>
  <c r="H18" i="8"/>
  <c r="G18" i="8"/>
  <c r="D11" i="8"/>
  <c r="D9" i="8"/>
  <c r="L5" i="7"/>
  <c r="K5" i="7"/>
  <c r="J5" i="7"/>
  <c r="I5" i="7"/>
  <c r="H5" i="7"/>
  <c r="G5" i="7"/>
  <c r="F5" i="7"/>
  <c r="E5" i="7"/>
  <c r="D5" i="7"/>
  <c r="H21" i="2"/>
  <c r="H20" i="2"/>
  <c r="G20" i="2"/>
  <c r="H19" i="2"/>
  <c r="G19" i="2"/>
  <c r="H18" i="2"/>
  <c r="G18" i="2"/>
  <c r="H17" i="2"/>
  <c r="G17" i="2"/>
  <c r="D11" i="2"/>
  <c r="L20" i="8" l="1"/>
  <c r="J17" i="8"/>
  <c r="K17" i="8" s="1"/>
  <c r="L17" i="8" s="1"/>
  <c r="J19" i="8"/>
  <c r="K19" i="8" s="1"/>
  <c r="L19" i="8" s="1"/>
  <c r="J18" i="8"/>
  <c r="K18" i="8" s="1"/>
  <c r="L18" i="8" s="1"/>
  <c r="J21" i="8"/>
  <c r="K21" i="8" s="1"/>
  <c r="L21" i="8" s="1"/>
  <c r="J21" i="2"/>
  <c r="K21" i="2" s="1"/>
  <c r="L21" i="2" s="1"/>
  <c r="J20" i="2"/>
  <c r="K20" i="2" s="1"/>
  <c r="L20" i="2" s="1"/>
  <c r="J18" i="2"/>
  <c r="K18" i="2" s="1"/>
  <c r="L18" i="2" s="1"/>
  <c r="J17" i="2"/>
  <c r="K17" i="2" s="1"/>
  <c r="L17" i="2" s="1"/>
  <c r="J19" i="2"/>
  <c r="K19" i="2" s="1"/>
  <c r="L19" i="2" s="1"/>
</calcChain>
</file>

<file path=xl/sharedStrings.xml><?xml version="1.0" encoding="utf-8"?>
<sst xmlns="http://schemas.openxmlformats.org/spreadsheetml/2006/main" count="72" uniqueCount="47">
  <si>
    <t xml:space="preserve">COMPARTICIÓN DE INFRAESTRUCTURAS PARA EL DESPLIEGUE DE REDES Y LA MASIFICACIÓN DE SERVICIOS DE TELECOMUNICACIONES </t>
  </si>
  <si>
    <r>
      <t>La Ley de Modernización del Sector TIC (Ley 1978 de 2019) estableció en cabeza de la Comisión de Regulación de Comunicaciones (CRC) la responsabilidad de definir las condiciones de acceso a postes, ductos e infraestructura pasiva que puedan ser utilizados bajo un esquema de costos eficientes por los proveedores de redes y servicios de telecomunicaciones, incluyendo el servicio de televisión abierta radiodifundida y todas las demás modalidades del servicio de televisión, y el servicio de radiodifusión sonora.
A efectos de lo anterior, la CRC llevó a cabo el proyecto regulatorio titulado "COMPARTICIÓN DE INFRAESTRUCTURAS PARA EL DESPLIEGUE DE REDES Y LA MASIFICACIÓN DE SERVICIOS DE TELECOMUNICACIONES ".
Como resultado de este proyecto, la CRC publica la Resolución 7120 de 2023 "</t>
    </r>
    <r>
      <rPr>
        <i/>
        <sz val="9.5"/>
        <color theme="1"/>
        <rFont val="Tahoma"/>
        <family val="2"/>
      </rPr>
      <t>Por medio de la cual se modifica el CAPÍTULO 10 de la SECCIÓN 1 del TÍTULO IV de la Resolución CRC 5050 de 2016, y se dictan otras disposiciones””</t>
    </r>
    <r>
      <rPr>
        <sz val="9.5"/>
        <color theme="1"/>
        <rFont val="Tahoma"/>
        <family val="2"/>
      </rPr>
      <t>.
Considerando lo anterior, en el presente archivo la CRC se permite publicar la metodología y los cálculos llevados a cabo para obtener los topes tarifarios publicados en el Proyecto de Resolución, así como en el Documento Soporte que son sometidos a comentarios del sector.</t>
    </r>
  </si>
  <si>
    <t>Proyecto Regulatorio "Compartición de infraestructuras para el despliegue de redes y la masificación de servicios de telecomunicaciones"</t>
  </si>
  <si>
    <t>ESTIMACIÓN DE LOS TOPES TARIFARIOS POR COMPARTICIÓN DE INFRAESTRUCTURA ELÉCTRICA. POSTES DEL SDL Y CANALIZACIONES.</t>
  </si>
  <si>
    <t>Parámetros</t>
  </si>
  <si>
    <t>Tda SDL</t>
  </si>
  <si>
    <t>Tasa de descuento anual sector energía eléctrica -  Sistema de Distribución Local (SDL) Resolución CREG 215 2021</t>
  </si>
  <si>
    <t>Tda mensual SDL</t>
  </si>
  <si>
    <t>Tasa de descuento mensual SDL</t>
  </si>
  <si>
    <t>Vi</t>
  </si>
  <si>
    <t>Vida útil en años elementos de nivel de tensión 1, 2 y 3</t>
  </si>
  <si>
    <t>Vida útil en meses elementos de nivel de tensión 1, 2 y 3</t>
  </si>
  <si>
    <t>P%</t>
  </si>
  <si>
    <t>Porcentaje sobre Ii para la estimación del AOM</t>
  </si>
  <si>
    <t>C</t>
  </si>
  <si>
    <t>Medida adimensional que representa la capacidad del elemento según el caso</t>
  </si>
  <si>
    <t>Elemento de Infraestructrura Eléctrica</t>
  </si>
  <si>
    <t>Ii*
(ene-2020)</t>
  </si>
  <si>
    <t>IPP Oferta Interna
(dic 2022 vs. dic 2020)</t>
  </si>
  <si>
    <t>Ii*
(2023)</t>
  </si>
  <si>
    <t>Vri</t>
  </si>
  <si>
    <t>AOM</t>
  </si>
  <si>
    <t>Tope tarifario de contraprestación anual por punto de apoyo
(ene-2023)</t>
  </si>
  <si>
    <t>VPN</t>
  </si>
  <si>
    <t>Tope tarifario de contraprestación mensual por punto de apoyo. Definitivo
(A partr 1 de mayo de 2023)</t>
  </si>
  <si>
    <t>Postes del Sistema de Distribución Local (SDL)</t>
  </si>
  <si>
    <t xml:space="preserve">Poste menor o igual a 8 metros </t>
  </si>
  <si>
    <t xml:space="preserve">Poste mayor a 8 metros y menor o igual a 10 metros </t>
  </si>
  <si>
    <t xml:space="preserve">Poste mayor a 10 metros </t>
  </si>
  <si>
    <t>Canalizaciones</t>
  </si>
  <si>
    <t xml:space="preserve">Canalización con 1 ducto en compartición (metro lineal) </t>
  </si>
  <si>
    <t xml:space="preserve">Canalización con 2 ductos en compartición (metro lineal) </t>
  </si>
  <si>
    <t>*Valores actualizados con la serie del Índice de Precios al Productor (IPP) – Oferta Interna a diciembre de 2022, publicada por el Departamento Administrativo Nacional de Estadística (DANE).</t>
  </si>
  <si>
    <t>**Se excluye la obtención de las tarifas de Postes y torres del STR y del STN dado que el cálculo de esta tarifa no fue objeto de modificación.</t>
  </si>
  <si>
    <t>ESTIMACIÓN DE LOS TOPES TARIFARIOS POR COMPARTICIÓN DE INFRAESTRUCTURA DE TELECOMUNICACIONES</t>
  </si>
  <si>
    <t>Tasa de descuento anual sector Telecomunicaciones</t>
  </si>
  <si>
    <t>Tasa de descuento mensual del sector telecomunicaciones</t>
  </si>
  <si>
    <t>Vida útil en años elementos de compartición</t>
  </si>
  <si>
    <t>Vida útil en meses elementos de compartición</t>
  </si>
  <si>
    <t>Elemento de Infraestructrura Telecomunicaciones</t>
  </si>
  <si>
    <t>Ii*</t>
  </si>
  <si>
    <t>Tope tarifario de contraprestación anual por punto de apoyo
(2023)</t>
  </si>
  <si>
    <t>Tope tarifario de contraprestación mensual por punto de apoyo
(A partr 1 de mayo de 2023)</t>
  </si>
  <si>
    <t>Postes del Sector de Telecomunicaciones</t>
  </si>
  <si>
    <t>Ajuste por IPP - Fuente: DANE</t>
  </si>
  <si>
    <t>AÑO</t>
  </si>
  <si>
    <t>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</si>
</sst>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\ #,##0"/>
    <numFmt numFmtId="167" formatCode="_(* #,##0_);_(* \(#,##0\);_(* &quot;-&quot;??_);_(@_)"/>
    <numFmt numFmtId="168" formatCode="&quot;$&quot;\ #,##0.00"/>
    <numFmt numFmtId="169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9.5"/>
      <color theme="1"/>
      <name val="Tahoma"/>
      <family val="2"/>
    </font>
    <font>
      <i/>
      <sz val="9.5"/>
      <color theme="1"/>
      <name val="Tahoma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0"/>
      <name val="Tahoma"/>
      <family val="2"/>
    </font>
    <font>
      <b/>
      <sz val="11"/>
      <color theme="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0" fontId="7" fillId="2" borderId="0" xfId="0" applyNumberFormat="1" applyFont="1" applyFill="1"/>
    <xf numFmtId="0" fontId="10" fillId="2" borderId="0" xfId="0" applyFont="1" applyFill="1"/>
    <xf numFmtId="164" fontId="7" fillId="2" borderId="0" xfId="3" applyFont="1" applyFill="1" applyBorder="1"/>
    <xf numFmtId="0" fontId="0" fillId="2" borderId="0" xfId="0" applyFill="1"/>
    <xf numFmtId="0" fontId="10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vertical="center"/>
    </xf>
    <xf numFmtId="166" fontId="7" fillId="2" borderId="2" xfId="2" applyNumberFormat="1" applyFont="1" applyFill="1" applyBorder="1" applyAlignment="1">
      <alignment horizontal="right" vertical="center"/>
    </xf>
    <xf numFmtId="166" fontId="7" fillId="2" borderId="2" xfId="3" applyNumberFormat="1" applyFont="1" applyFill="1" applyBorder="1" applyAlignment="1">
      <alignment horizontal="right" vertical="center"/>
    </xf>
    <xf numFmtId="167" fontId="8" fillId="2" borderId="2" xfId="1" applyNumberFormat="1" applyFont="1" applyFill="1" applyBorder="1" applyAlignment="1">
      <alignment horizontal="right" vertical="center"/>
    </xf>
    <xf numFmtId="166" fontId="8" fillId="2" borderId="2" xfId="1" applyNumberFormat="1" applyFont="1" applyFill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165" fontId="7" fillId="2" borderId="0" xfId="0" applyNumberFormat="1" applyFont="1" applyFill="1"/>
    <xf numFmtId="0" fontId="8" fillId="2" borderId="0" xfId="0" applyFont="1" applyFill="1"/>
    <xf numFmtId="164" fontId="8" fillId="2" borderId="0" xfId="3" applyFont="1" applyFill="1" applyBorder="1"/>
    <xf numFmtId="168" fontId="7" fillId="2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3" fillId="3" borderId="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10" fontId="0" fillId="0" borderId="2" xfId="4" applyNumberFormat="1" applyFont="1" applyBorder="1"/>
    <xf numFmtId="2" fontId="0" fillId="2" borderId="0" xfId="0" applyNumberFormat="1" applyFill="1"/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166" fontId="7" fillId="2" borderId="2" xfId="2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66" fontId="8" fillId="2" borderId="2" xfId="1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8" fontId="7" fillId="2" borderId="2" xfId="0" applyNumberFormat="1" applyFont="1" applyFill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</cellXfs>
  <cellStyles count="6">
    <cellStyle name="Millares" xfId="1" builtinId="3"/>
    <cellStyle name="Moneda" xfId="2" builtinId="4"/>
    <cellStyle name="Moneda [0]" xfId="3" builtinId="7"/>
    <cellStyle name="Normal" xfId="0" builtinId="0"/>
    <cellStyle name="Normal 2" xfId="5" xr:uid="{975997FB-F9B0-427F-9AD7-5D22594B2AAF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6350</xdr:rowOff>
    </xdr:from>
    <xdr:to>
      <xdr:col>2</xdr:col>
      <xdr:colOff>88900</xdr:colOff>
      <xdr:row>3</xdr:row>
      <xdr:rowOff>57150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2B9E901F-5522-4419-9E7B-E989694EF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6350"/>
          <a:ext cx="1139825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1101725</xdr:colOff>
      <xdr:row>3</xdr:row>
      <xdr:rowOff>95250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7E95DD88-F5AE-4A3C-A0EB-2006829DE3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541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1101725</xdr:colOff>
      <xdr:row>3</xdr:row>
      <xdr:rowOff>95250</xdr:rowOff>
    </xdr:to>
    <xdr:pic>
      <xdr:nvPicPr>
        <xdr:cNvPr id="2" name="Imagen 1" descr="Macintosh HD:Users:baterik:Desktop:crc diseños:plantillas nuevas CRC:NUEVO-LOGO-CRC2.png">
          <a:extLst>
            <a:ext uri="{FF2B5EF4-FFF2-40B4-BE49-F238E27FC236}">
              <a16:creationId xmlns:a16="http://schemas.microsoft.com/office/drawing/2014/main" id="{67074DBB-7CFC-4E60-9F63-B7CE6ADCAF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160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12700</xdr:colOff>
      <xdr:row>42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D9713-A226-4377-904C-88E1C337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0500"/>
          <a:ext cx="5346700" cy="798830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F74A-298A-4373-AB1F-72A5A2D25610}">
  <dimension ref="B2:O25"/>
  <sheetViews>
    <sheetView tabSelected="1" workbookViewId="0">
      <selection activeCell="B5" sqref="B5:O25"/>
    </sheetView>
  </sheetViews>
  <sheetFormatPr baseColWidth="10" defaultColWidth="10.85546875" defaultRowHeight="14.25" x14ac:dyDescent="0.2"/>
  <cols>
    <col min="1" max="1" width="7.28515625" style="1" customWidth="1"/>
    <col min="2" max="16384" width="10.85546875" style="1"/>
  </cols>
  <sheetData>
    <row r="2" spans="2:15" x14ac:dyDescent="0.2"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5" x14ac:dyDescent="0.2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5" ht="15" thickBo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5" ht="13.9" customHeight="1" x14ac:dyDescent="0.2">
      <c r="B5" s="48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14.45" customHeight="1" x14ac:dyDescent="0.2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14.45" customHeight="1" x14ac:dyDescent="0.2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14.45" customHeight="1" x14ac:dyDescent="0.2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ht="14.45" customHeight="1" x14ac:dyDescent="0.2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14.45" customHeight="1" x14ac:dyDescent="0.2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ht="14.45" customHeight="1" x14ac:dyDescent="0.2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14.45" customHeight="1" x14ac:dyDescent="0.2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2:15" ht="14.45" customHeight="1" x14ac:dyDescent="0.2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2:15" ht="14.45" customHeight="1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2:15" ht="14.45" customHeight="1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2:15" ht="14.45" customHeight="1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5" ht="14.45" customHeight="1" x14ac:dyDescent="0.2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5" ht="14.45" customHeight="1" x14ac:dyDescent="0.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2:15" ht="14.45" customHeight="1" x14ac:dyDescent="0.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2:15" ht="14.45" customHeight="1" x14ac:dyDescent="0.2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2:15" ht="14.45" customHeight="1" x14ac:dyDescent="0.2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2:15" ht="14.45" customHeight="1" x14ac:dyDescent="0.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2:15" ht="14.45" customHeight="1" x14ac:dyDescent="0.2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2:15" ht="14.45" customHeight="1" x14ac:dyDescent="0.2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2:15" ht="14.45" customHeight="1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</sheetData>
  <mergeCells count="2">
    <mergeCell ref="C2:N3"/>
    <mergeCell ref="B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0831-5A96-499C-93EC-6BB9CAD91F01}">
  <dimension ref="A1:M37"/>
  <sheetViews>
    <sheetView zoomScale="85" zoomScaleNormal="85" workbookViewId="0">
      <selection activeCell="F17" sqref="F17"/>
    </sheetView>
  </sheetViews>
  <sheetFormatPr baseColWidth="10" defaultColWidth="10.85546875" defaultRowHeight="12.75" x14ac:dyDescent="0.2"/>
  <cols>
    <col min="1" max="1" width="3.140625" style="4" bestFit="1" customWidth="1"/>
    <col min="2" max="2" width="16.85546875" style="4" customWidth="1"/>
    <col min="3" max="3" width="38.140625" style="4" customWidth="1"/>
    <col min="4" max="4" width="14" style="4" bestFit="1" customWidth="1"/>
    <col min="5" max="5" width="17.42578125" style="37" customWidth="1"/>
    <col min="6" max="6" width="14.42578125" style="4" customWidth="1"/>
    <col min="7" max="7" width="12.42578125" style="7" customWidth="1"/>
    <col min="8" max="8" width="21.28515625" style="4" customWidth="1"/>
    <col min="9" max="9" width="20.7109375" style="4" customWidth="1"/>
    <col min="10" max="10" width="16.5703125" style="4" bestFit="1" customWidth="1"/>
    <col min="11" max="11" width="19" style="4" customWidth="1"/>
    <col min="12" max="12" width="21.85546875" style="4" customWidth="1"/>
    <col min="13" max="16384" width="10.85546875" style="4"/>
  </cols>
  <sheetData>
    <row r="1" spans="1:12" ht="14.45" customHeight="1" x14ac:dyDescent="0.2">
      <c r="A1" s="1"/>
      <c r="B1" s="1"/>
      <c r="C1" s="50" t="s">
        <v>2</v>
      </c>
      <c r="D1" s="50"/>
      <c r="E1" s="50"/>
      <c r="F1" s="50"/>
      <c r="G1" s="50"/>
      <c r="H1" s="50"/>
      <c r="I1" s="50"/>
      <c r="K1" s="3"/>
    </row>
    <row r="2" spans="1:12" ht="12.6" customHeight="1" x14ac:dyDescent="0.2">
      <c r="A2" s="1"/>
      <c r="B2" s="1"/>
      <c r="C2" s="50"/>
      <c r="D2" s="50"/>
      <c r="E2" s="50"/>
      <c r="F2" s="50"/>
      <c r="G2" s="50"/>
      <c r="H2" s="50"/>
      <c r="I2" s="50"/>
      <c r="K2" s="3"/>
    </row>
    <row r="3" spans="1:12" ht="12.6" customHeight="1" x14ac:dyDescent="0.2">
      <c r="A3" s="1"/>
      <c r="B3" s="1"/>
      <c r="C3" s="50"/>
      <c r="D3" s="50"/>
      <c r="E3" s="50"/>
      <c r="F3" s="50"/>
      <c r="G3" s="50"/>
      <c r="H3" s="50"/>
      <c r="I3" s="50"/>
      <c r="K3" s="3"/>
    </row>
    <row r="4" spans="1:12" ht="14.25" x14ac:dyDescent="0.2">
      <c r="A4" s="1"/>
      <c r="B4" s="1"/>
      <c r="C4" s="50"/>
      <c r="D4" s="50"/>
      <c r="E4" s="50"/>
      <c r="F4" s="50"/>
      <c r="G4" s="50"/>
      <c r="H4" s="50"/>
      <c r="I4" s="50"/>
      <c r="K4" s="3"/>
    </row>
    <row r="5" spans="1:12" ht="14.25" x14ac:dyDescent="0.2">
      <c r="A5" s="1"/>
      <c r="B5" s="2"/>
      <c r="C5" s="50"/>
      <c r="D5" s="50"/>
      <c r="E5" s="50"/>
      <c r="F5" s="50"/>
      <c r="G5" s="50"/>
      <c r="H5" s="50"/>
      <c r="I5" s="50"/>
      <c r="K5" s="2"/>
    </row>
    <row r="6" spans="1:12" ht="14.1" customHeight="1" x14ac:dyDescent="0.2">
      <c r="A6" s="1"/>
      <c r="B6" s="51" t="s">
        <v>3</v>
      </c>
      <c r="C6" s="51"/>
      <c r="D6" s="51"/>
      <c r="E6" s="51"/>
      <c r="F6" s="51"/>
      <c r="G6" s="51"/>
      <c r="H6" s="51"/>
      <c r="I6" s="51"/>
      <c r="K6" s="2"/>
    </row>
    <row r="7" spans="1:12" x14ac:dyDescent="0.2">
      <c r="B7" s="2"/>
      <c r="G7" s="4"/>
    </row>
    <row r="8" spans="1:12" ht="35.25" customHeight="1" x14ac:dyDescent="0.2">
      <c r="B8" s="52" t="s">
        <v>4</v>
      </c>
      <c r="C8" s="5" t="s">
        <v>5</v>
      </c>
      <c r="D8" s="6">
        <v>0.12089999999999999</v>
      </c>
      <c r="E8" s="53" t="s">
        <v>6</v>
      </c>
      <c r="F8" s="53"/>
      <c r="G8" s="53"/>
      <c r="I8" s="7"/>
    </row>
    <row r="9" spans="1:12" x14ac:dyDescent="0.2">
      <c r="B9" s="52"/>
      <c r="C9" s="5" t="s">
        <v>7</v>
      </c>
      <c r="D9" s="6">
        <f>((1+D8)^(1/12))-1</f>
        <v>9.5563677461034668E-3</v>
      </c>
      <c r="E9" s="53" t="s">
        <v>8</v>
      </c>
      <c r="F9" s="53"/>
      <c r="G9" s="53"/>
      <c r="I9" s="7"/>
    </row>
    <row r="10" spans="1:12" ht="27" customHeight="1" x14ac:dyDescent="0.2">
      <c r="B10" s="52"/>
      <c r="C10" s="5" t="s">
        <v>9</v>
      </c>
      <c r="D10" s="5">
        <v>35</v>
      </c>
      <c r="E10" s="53" t="s">
        <v>10</v>
      </c>
      <c r="F10" s="53"/>
      <c r="G10" s="53"/>
      <c r="I10" s="7"/>
    </row>
    <row r="11" spans="1:12" ht="27" customHeight="1" x14ac:dyDescent="0.2">
      <c r="B11" s="52"/>
      <c r="C11" s="5" t="s">
        <v>9</v>
      </c>
      <c r="D11" s="5">
        <f>+D10*12</f>
        <v>420</v>
      </c>
      <c r="E11" s="53" t="s">
        <v>11</v>
      </c>
      <c r="F11" s="53"/>
      <c r="G11" s="53"/>
      <c r="I11" s="7"/>
    </row>
    <row r="12" spans="1:12" x14ac:dyDescent="0.2">
      <c r="B12" s="52"/>
      <c r="C12" s="5" t="s">
        <v>12</v>
      </c>
      <c r="D12" s="6">
        <v>3.1E-2</v>
      </c>
      <c r="E12" s="53" t="s">
        <v>13</v>
      </c>
      <c r="F12" s="53"/>
      <c r="G12" s="53"/>
      <c r="I12" s="7"/>
    </row>
    <row r="13" spans="1:12" ht="26.1" customHeight="1" x14ac:dyDescent="0.2">
      <c r="B13" s="52"/>
      <c r="C13" s="56" t="s">
        <v>14</v>
      </c>
      <c r="D13" s="57"/>
      <c r="E13" s="53" t="s">
        <v>15</v>
      </c>
      <c r="F13" s="53"/>
      <c r="G13" s="53"/>
      <c r="I13" s="7"/>
    </row>
    <row r="14" spans="1:12" x14ac:dyDescent="0.2">
      <c r="A14" s="8"/>
      <c r="B14" s="8"/>
      <c r="D14" s="9"/>
      <c r="G14" s="4"/>
      <c r="H14" s="9"/>
      <c r="I14" s="7"/>
    </row>
    <row r="15" spans="1:12" x14ac:dyDescent="0.2">
      <c r="C15" s="10"/>
      <c r="D15" s="10"/>
      <c r="E15" s="38"/>
      <c r="F15" s="10"/>
      <c r="G15" s="4"/>
      <c r="H15" s="11"/>
    </row>
    <row r="16" spans="1:12" s="39" customFormat="1" ht="76.5" x14ac:dyDescent="0.25">
      <c r="B16" s="58" t="s">
        <v>16</v>
      </c>
      <c r="C16" s="59"/>
      <c r="D16" s="35" t="s">
        <v>17</v>
      </c>
      <c r="E16" s="36" t="s">
        <v>18</v>
      </c>
      <c r="F16" s="35" t="s">
        <v>19</v>
      </c>
      <c r="G16" s="13" t="s">
        <v>20</v>
      </c>
      <c r="H16" s="13" t="s">
        <v>21</v>
      </c>
      <c r="I16" s="13" t="s">
        <v>14</v>
      </c>
      <c r="J16" s="27" t="s">
        <v>22</v>
      </c>
      <c r="K16" s="27" t="s">
        <v>23</v>
      </c>
      <c r="L16" s="27" t="s">
        <v>24</v>
      </c>
    </row>
    <row r="17" spans="1:13" s="12" customFormat="1" ht="15" x14ac:dyDescent="0.25">
      <c r="B17" s="60" t="s">
        <v>25</v>
      </c>
      <c r="C17" s="15" t="s">
        <v>26</v>
      </c>
      <c r="D17" s="16">
        <v>833297.1927201628</v>
      </c>
      <c r="E17" s="46">
        <f>+IPP!$N$6</f>
        <v>1.4163852709438816</v>
      </c>
      <c r="F17" s="16">
        <f>D17*E17</f>
        <v>1180269.8700877237</v>
      </c>
      <c r="G17" s="17">
        <f>(F17*($D$8/(1-(1+$D$8)^(-$D$10))))</f>
        <v>145371.56989826341</v>
      </c>
      <c r="H17" s="16">
        <f>+F17*$D$12</f>
        <v>36588.365972719432</v>
      </c>
      <c r="I17" s="18">
        <v>9</v>
      </c>
      <c r="J17" s="19">
        <f>+(G17+H17)*(1/I17)</f>
        <v>20217.770652331423</v>
      </c>
      <c r="K17" s="20">
        <f>((J17*(1-(1+$D$8)^(-$D$10))/$D$8))</f>
        <v>164147.81485809392</v>
      </c>
      <c r="L17" s="26">
        <f>((K17*D$9)/(1-(1+D$9)^(-$D$11)))</f>
        <v>1598.0847920600277</v>
      </c>
    </row>
    <row r="18" spans="1:13" s="12" customFormat="1" ht="25.5" x14ac:dyDescent="0.25">
      <c r="B18" s="61"/>
      <c r="C18" s="21" t="s">
        <v>27</v>
      </c>
      <c r="D18" s="16">
        <v>1066178.415947716</v>
      </c>
      <c r="E18" s="46">
        <f>+IPP!$N$6</f>
        <v>1.4163852709438816</v>
      </c>
      <c r="F18" s="16">
        <f t="shared" ref="F18:F21" si="0">D18*E18</f>
        <v>1510119.404546624</v>
      </c>
      <c r="G18" s="17">
        <f>(F18*($D$8/(1-(1+$D$8)^(-$D$10))))</f>
        <v>185998.50266147775</v>
      </c>
      <c r="H18" s="16">
        <f t="shared" ref="H18:H21" si="1">+F18*$D$12</f>
        <v>46813.701540945345</v>
      </c>
      <c r="I18" s="18">
        <v>11</v>
      </c>
      <c r="J18" s="19">
        <f t="shared" ref="J18:J21" si="2">+(G18+H18)*(1/I18)</f>
        <v>21164.745836583919</v>
      </c>
      <c r="K18" s="20">
        <f>((J18*(1-(1+$D$8)^(-$D$10))/$D$8))</f>
        <v>171836.29396357646</v>
      </c>
      <c r="L18" s="26">
        <f>((K18*D$9)/(1-(1+D$9)^(-$D$11)))</f>
        <v>1672.9370923673143</v>
      </c>
    </row>
    <row r="19" spans="1:13" s="12" customFormat="1" ht="15" x14ac:dyDescent="0.25">
      <c r="B19" s="62"/>
      <c r="C19" s="15" t="s">
        <v>28</v>
      </c>
      <c r="D19" s="16">
        <v>1619142.4292547307</v>
      </c>
      <c r="E19" s="46">
        <f>+IPP!$N$6</f>
        <v>1.4163852709438816</v>
      </c>
      <c r="F19" s="16">
        <f t="shared" si="0"/>
        <v>2293329.4883566964</v>
      </c>
      <c r="G19" s="17">
        <f>(F19*($D$8/(1-(1+$D$8)^(-$D$10))))</f>
        <v>282464.9823447711</v>
      </c>
      <c r="H19" s="16">
        <f t="shared" si="1"/>
        <v>71093.214139057585</v>
      </c>
      <c r="I19" s="18">
        <v>11</v>
      </c>
      <c r="J19" s="19">
        <f t="shared" si="2"/>
        <v>32141.654225802609</v>
      </c>
      <c r="K19" s="20">
        <f>((J19*(1-(1+$D$8)^(-$D$10))/$D$8))</f>
        <v>260957.66926120096</v>
      </c>
      <c r="L19" s="26">
        <f>((K19*D$9)/(1-(1+D$9)^(-$D$11)))</f>
        <v>2540.5911310990105</v>
      </c>
    </row>
    <row r="20" spans="1:13" s="12" customFormat="1" ht="26.25" x14ac:dyDescent="0.25">
      <c r="B20" s="54" t="s">
        <v>29</v>
      </c>
      <c r="C20" s="22" t="s">
        <v>30</v>
      </c>
      <c r="D20" s="16">
        <v>164187.03302517073</v>
      </c>
      <c r="E20" s="46">
        <f>+IPP!$N$6</f>
        <v>1.4163852709438816</v>
      </c>
      <c r="F20" s="16">
        <f t="shared" si="0"/>
        <v>232552.09525682847</v>
      </c>
      <c r="G20" s="17">
        <f>(F20*($D$8/(1-(1+$D$8)^(-$D$10))))</f>
        <v>28642.994307821296</v>
      </c>
      <c r="H20" s="16">
        <f t="shared" si="1"/>
        <v>7209.1149529616823</v>
      </c>
      <c r="I20" s="18">
        <v>17</v>
      </c>
      <c r="J20" s="19">
        <f t="shared" si="2"/>
        <v>2108.9476035754692</v>
      </c>
      <c r="K20" s="20">
        <f>((J20*(1-(1+$D$8)^(-$D$10))/$D$8))</f>
        <v>17122.517943748022</v>
      </c>
      <c r="L20" s="26">
        <f>((K20*D$9)/(1-(1+D$9)^(-$D$11)))</f>
        <v>166.69874985137156</v>
      </c>
      <c r="M20" s="34"/>
    </row>
    <row r="21" spans="1:13" s="12" customFormat="1" ht="26.25" x14ac:dyDescent="0.25">
      <c r="B21" s="55"/>
      <c r="C21" s="22" t="s">
        <v>31</v>
      </c>
      <c r="D21" s="16">
        <v>164187.03302517073</v>
      </c>
      <c r="E21" s="46">
        <f>+IPP!$N$6</f>
        <v>1.4163852709438816</v>
      </c>
      <c r="F21" s="16">
        <f t="shared" si="0"/>
        <v>232552.09525682847</v>
      </c>
      <c r="G21" s="17">
        <f>(F21*($D$8/(1-(1+$D$8)^(-$D$10))))</f>
        <v>28642.994307821296</v>
      </c>
      <c r="H21" s="16">
        <f t="shared" si="1"/>
        <v>7209.1149529616823</v>
      </c>
      <c r="I21" s="18">
        <v>34</v>
      </c>
      <c r="J21" s="19">
        <f t="shared" si="2"/>
        <v>1054.4738017877346</v>
      </c>
      <c r="K21" s="20">
        <f>((J21*(1-(1+$D$8)^(-$D$10))/$D$8))</f>
        <v>8561.258971874011</v>
      </c>
      <c r="L21" s="26">
        <f>((K21*D$9)/(1-(1+D$9)^(-$D$11)))</f>
        <v>83.34937492568578</v>
      </c>
      <c r="M21" s="34"/>
    </row>
    <row r="22" spans="1:13" x14ac:dyDescent="0.2">
      <c r="B22" s="4" t="s">
        <v>32</v>
      </c>
      <c r="G22" s="4"/>
      <c r="H22" s="11"/>
      <c r="I22" s="23"/>
    </row>
    <row r="23" spans="1:13" x14ac:dyDescent="0.2">
      <c r="B23" s="4" t="s">
        <v>33</v>
      </c>
      <c r="G23" s="4"/>
      <c r="H23" s="11"/>
      <c r="I23" s="23"/>
    </row>
    <row r="24" spans="1:13" x14ac:dyDescent="0.2">
      <c r="G24" s="4"/>
      <c r="H24" s="11"/>
      <c r="I24" s="23"/>
    </row>
    <row r="25" spans="1:13" x14ac:dyDescent="0.2">
      <c r="G25" s="4"/>
      <c r="H25" s="11"/>
      <c r="I25" s="23"/>
    </row>
    <row r="26" spans="1:13" x14ac:dyDescent="0.2">
      <c r="G26" s="4"/>
      <c r="H26" s="11"/>
      <c r="I26" s="23"/>
    </row>
    <row r="27" spans="1:13" x14ac:dyDescent="0.2">
      <c r="G27" s="4"/>
      <c r="H27" s="11"/>
      <c r="I27" s="23"/>
    </row>
    <row r="28" spans="1:13" x14ac:dyDescent="0.2">
      <c r="G28" s="4"/>
      <c r="H28" s="11"/>
      <c r="I28" s="23"/>
    </row>
    <row r="29" spans="1:13" x14ac:dyDescent="0.2">
      <c r="G29" s="4"/>
      <c r="H29" s="11"/>
      <c r="I29" s="23"/>
    </row>
    <row r="30" spans="1:13" x14ac:dyDescent="0.2">
      <c r="G30" s="4"/>
      <c r="H30" s="11"/>
      <c r="I30" s="23"/>
    </row>
    <row r="31" spans="1:13" x14ac:dyDescent="0.2">
      <c r="G31" s="4"/>
      <c r="H31" s="11"/>
      <c r="I31" s="23"/>
    </row>
    <row r="32" spans="1:13" s="24" customFormat="1" x14ac:dyDescent="0.2">
      <c r="A32" s="4"/>
      <c r="B32" s="4"/>
      <c r="C32" s="4"/>
      <c r="D32" s="4"/>
      <c r="E32" s="37"/>
      <c r="F32" s="4"/>
      <c r="G32" s="4"/>
      <c r="H32" s="11"/>
      <c r="I32" s="23"/>
    </row>
    <row r="33" spans="1:9" s="24" customFormat="1" x14ac:dyDescent="0.2">
      <c r="A33" s="4"/>
      <c r="B33" s="4"/>
      <c r="C33" s="4"/>
      <c r="D33" s="4"/>
      <c r="E33" s="37"/>
      <c r="F33" s="4"/>
      <c r="G33" s="4"/>
      <c r="H33" s="25"/>
      <c r="I33" s="23"/>
    </row>
    <row r="34" spans="1:9" x14ac:dyDescent="0.2">
      <c r="G34" s="4"/>
      <c r="H34" s="25"/>
      <c r="I34" s="23"/>
    </row>
    <row r="35" spans="1:9" x14ac:dyDescent="0.2">
      <c r="G35" s="4"/>
      <c r="I35" s="23"/>
    </row>
    <row r="36" spans="1:9" x14ac:dyDescent="0.2">
      <c r="G36" s="4"/>
    </row>
    <row r="37" spans="1:9" x14ac:dyDescent="0.2">
      <c r="G37" s="4"/>
    </row>
  </sheetData>
  <mergeCells count="13">
    <mergeCell ref="B20:B21"/>
    <mergeCell ref="E12:G12"/>
    <mergeCell ref="C13:D13"/>
    <mergeCell ref="E13:G13"/>
    <mergeCell ref="B16:C16"/>
    <mergeCell ref="B17:B19"/>
    <mergeCell ref="C1:I5"/>
    <mergeCell ref="B6:I6"/>
    <mergeCell ref="B8:B13"/>
    <mergeCell ref="E8:G8"/>
    <mergeCell ref="E9:G9"/>
    <mergeCell ref="E10:G10"/>
    <mergeCell ref="E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D343-FF3B-4E9F-BB3F-5CBEEB012317}">
  <dimension ref="A1:M37"/>
  <sheetViews>
    <sheetView topLeftCell="B1" zoomScale="85" zoomScaleNormal="85" workbookViewId="0">
      <selection activeCell="J17" sqref="J17"/>
    </sheetView>
  </sheetViews>
  <sheetFormatPr baseColWidth="10" defaultColWidth="10.85546875" defaultRowHeight="12.75" x14ac:dyDescent="0.2"/>
  <cols>
    <col min="1" max="1" width="3.140625" style="4" bestFit="1" customWidth="1"/>
    <col min="2" max="2" width="16.85546875" style="4" customWidth="1"/>
    <col min="3" max="3" width="38.140625" style="4" customWidth="1"/>
    <col min="4" max="4" width="14" style="4" bestFit="1" customWidth="1"/>
    <col min="5" max="5" width="17.42578125" style="4" customWidth="1"/>
    <col min="6" max="6" width="14.42578125" style="4" customWidth="1"/>
    <col min="7" max="7" width="12.42578125" style="7" customWidth="1"/>
    <col min="8" max="8" width="21.28515625" style="4" customWidth="1"/>
    <col min="9" max="9" width="20.7109375" style="4" customWidth="1"/>
    <col min="10" max="10" width="16.5703125" style="4" bestFit="1" customWidth="1"/>
    <col min="11" max="11" width="19" style="4" customWidth="1"/>
    <col min="12" max="12" width="18.28515625" style="4" customWidth="1"/>
    <col min="13" max="16384" width="10.85546875" style="4"/>
  </cols>
  <sheetData>
    <row r="1" spans="1:12" ht="14.45" customHeight="1" x14ac:dyDescent="0.2">
      <c r="A1" s="1"/>
      <c r="B1" s="1"/>
      <c r="C1" s="50" t="s">
        <v>2</v>
      </c>
      <c r="D1" s="50"/>
      <c r="E1" s="50"/>
      <c r="F1" s="50"/>
      <c r="G1" s="50"/>
      <c r="H1" s="50"/>
      <c r="I1" s="50"/>
      <c r="K1" s="3"/>
    </row>
    <row r="2" spans="1:12" ht="12.6" customHeight="1" x14ac:dyDescent="0.2">
      <c r="A2" s="1"/>
      <c r="B2" s="1"/>
      <c r="C2" s="50"/>
      <c r="D2" s="50"/>
      <c r="E2" s="50"/>
      <c r="F2" s="50"/>
      <c r="G2" s="50"/>
      <c r="H2" s="50"/>
      <c r="I2" s="50"/>
      <c r="K2" s="3"/>
    </row>
    <row r="3" spans="1:12" ht="12.6" customHeight="1" x14ac:dyDescent="0.2">
      <c r="A3" s="1"/>
      <c r="B3" s="1"/>
      <c r="C3" s="50"/>
      <c r="D3" s="50"/>
      <c r="E3" s="50"/>
      <c r="F3" s="50"/>
      <c r="G3" s="50"/>
      <c r="H3" s="50"/>
      <c r="I3" s="50"/>
      <c r="K3" s="3"/>
    </row>
    <row r="4" spans="1:12" ht="14.25" x14ac:dyDescent="0.2">
      <c r="A4" s="1"/>
      <c r="B4" s="1"/>
      <c r="C4" s="50"/>
      <c r="D4" s="50"/>
      <c r="E4" s="50"/>
      <c r="F4" s="50"/>
      <c r="G4" s="50"/>
      <c r="H4" s="50"/>
      <c r="I4" s="50"/>
      <c r="K4" s="3"/>
    </row>
    <row r="5" spans="1:12" ht="14.25" x14ac:dyDescent="0.2">
      <c r="A5" s="1"/>
      <c r="B5" s="2"/>
      <c r="C5" s="50"/>
      <c r="D5" s="50"/>
      <c r="E5" s="50"/>
      <c r="F5" s="50"/>
      <c r="G5" s="50"/>
      <c r="H5" s="50"/>
      <c r="I5" s="50"/>
      <c r="K5" s="2"/>
    </row>
    <row r="6" spans="1:12" ht="14.1" customHeight="1" x14ac:dyDescent="0.2">
      <c r="A6" s="1"/>
      <c r="B6" s="51" t="s">
        <v>34</v>
      </c>
      <c r="C6" s="51"/>
      <c r="D6" s="51"/>
      <c r="E6" s="51"/>
      <c r="F6" s="51"/>
      <c r="G6" s="51"/>
      <c r="H6" s="51"/>
      <c r="I6" s="51"/>
      <c r="K6" s="2"/>
    </row>
    <row r="7" spans="1:12" x14ac:dyDescent="0.2">
      <c r="B7" s="2"/>
      <c r="G7" s="4"/>
    </row>
    <row r="8" spans="1:12" ht="24" customHeight="1" x14ac:dyDescent="0.2">
      <c r="B8" s="52" t="s">
        <v>4</v>
      </c>
      <c r="C8" s="5" t="s">
        <v>5</v>
      </c>
      <c r="D8" s="6">
        <v>0.12529999999999999</v>
      </c>
      <c r="E8" s="63" t="s">
        <v>35</v>
      </c>
      <c r="F8" s="63"/>
      <c r="G8" s="63"/>
      <c r="I8" s="7"/>
    </row>
    <row r="9" spans="1:12" ht="32.25" customHeight="1" x14ac:dyDescent="0.2">
      <c r="B9" s="52"/>
      <c r="C9" s="5" t="s">
        <v>7</v>
      </c>
      <c r="D9" s="6">
        <f>((1+D8)^(1/12))-1</f>
        <v>9.8860192237406608E-3</v>
      </c>
      <c r="E9" s="63" t="s">
        <v>36</v>
      </c>
      <c r="F9" s="63"/>
      <c r="G9" s="63"/>
      <c r="I9" s="7"/>
    </row>
    <row r="10" spans="1:12" ht="27" customHeight="1" x14ac:dyDescent="0.2">
      <c r="B10" s="52"/>
      <c r="C10" s="5" t="s">
        <v>9</v>
      </c>
      <c r="D10" s="5">
        <v>35</v>
      </c>
      <c r="E10" s="63" t="s">
        <v>37</v>
      </c>
      <c r="F10" s="63"/>
      <c r="G10" s="63"/>
      <c r="I10" s="7"/>
    </row>
    <row r="11" spans="1:12" ht="27" customHeight="1" x14ac:dyDescent="0.2">
      <c r="B11" s="52"/>
      <c r="C11" s="5" t="s">
        <v>9</v>
      </c>
      <c r="D11" s="5">
        <f>+D10*12</f>
        <v>420</v>
      </c>
      <c r="E11" s="63" t="s">
        <v>38</v>
      </c>
      <c r="F11" s="63"/>
      <c r="G11" s="63"/>
      <c r="I11" s="7"/>
    </row>
    <row r="12" spans="1:12" x14ac:dyDescent="0.2">
      <c r="B12" s="52"/>
      <c r="C12" s="5" t="s">
        <v>12</v>
      </c>
      <c r="D12" s="6">
        <v>3.1E-2</v>
      </c>
      <c r="E12" s="64" t="s">
        <v>13</v>
      </c>
      <c r="F12" s="64"/>
      <c r="G12" s="64"/>
      <c r="I12" s="7"/>
    </row>
    <row r="13" spans="1:12" ht="26.1" customHeight="1" x14ac:dyDescent="0.2">
      <c r="B13" s="52"/>
      <c r="C13" s="56" t="s">
        <v>14</v>
      </c>
      <c r="D13" s="57"/>
      <c r="E13" s="64" t="s">
        <v>15</v>
      </c>
      <c r="F13" s="64"/>
      <c r="G13" s="64"/>
      <c r="I13" s="7"/>
    </row>
    <row r="14" spans="1:12" x14ac:dyDescent="0.2">
      <c r="A14" s="8"/>
      <c r="B14" s="8"/>
      <c r="D14" s="9"/>
      <c r="G14" s="4"/>
      <c r="H14" s="9"/>
      <c r="I14" s="7"/>
    </row>
    <row r="15" spans="1:12" x14ac:dyDescent="0.2">
      <c r="C15" s="10"/>
      <c r="D15" s="10"/>
      <c r="E15" s="10"/>
      <c r="F15" s="10"/>
      <c r="G15" s="4"/>
      <c r="H15" s="11"/>
    </row>
    <row r="16" spans="1:12" s="12" customFormat="1" ht="66.599999999999994" customHeight="1" x14ac:dyDescent="0.25">
      <c r="B16" s="58" t="s">
        <v>39</v>
      </c>
      <c r="C16" s="59"/>
      <c r="D16" s="35" t="s">
        <v>17</v>
      </c>
      <c r="E16" s="36" t="s">
        <v>18</v>
      </c>
      <c r="F16" s="13" t="s">
        <v>40</v>
      </c>
      <c r="G16" s="13" t="s">
        <v>20</v>
      </c>
      <c r="H16" s="13" t="s">
        <v>21</v>
      </c>
      <c r="I16" s="13" t="s">
        <v>14</v>
      </c>
      <c r="J16" s="14" t="s">
        <v>41</v>
      </c>
      <c r="K16" s="27" t="s">
        <v>23</v>
      </c>
      <c r="L16" s="14" t="s">
        <v>42</v>
      </c>
    </row>
    <row r="17" spans="1:13" s="12" customFormat="1" ht="15" x14ac:dyDescent="0.25">
      <c r="B17" s="60" t="s">
        <v>43</v>
      </c>
      <c r="C17" s="15" t="s">
        <v>26</v>
      </c>
      <c r="D17" s="16">
        <v>833297.1927201628</v>
      </c>
      <c r="E17" s="46">
        <f>+IPP!$N$6</f>
        <v>1.4163852709438816</v>
      </c>
      <c r="F17" s="40">
        <f>+D17*E17</f>
        <v>1180269.8700877237</v>
      </c>
      <c r="G17" s="41">
        <f>(F17*($D$8/(1-(1+$D$8)^(-$D$10))))</f>
        <v>150300.88729774128</v>
      </c>
      <c r="H17" s="40">
        <f>+F17*$D$12</f>
        <v>36588.365972719432</v>
      </c>
      <c r="I17" s="42">
        <v>9</v>
      </c>
      <c r="J17" s="43">
        <f>+(G17+H17)*(1/I17)</f>
        <v>20765.472585606742</v>
      </c>
      <c r="K17" s="44">
        <f>((J17*(1-(1+$D$8)^(-$D$10))/$D$8))</f>
        <v>163065.31565827006</v>
      </c>
      <c r="L17" s="45">
        <f>((K17*D$9)/(1-(1+D$9)^(-$D$11)))</f>
        <v>1638.3707994522579</v>
      </c>
    </row>
    <row r="18" spans="1:13" s="12" customFormat="1" ht="25.5" x14ac:dyDescent="0.25">
      <c r="B18" s="61"/>
      <c r="C18" s="21" t="s">
        <v>27</v>
      </c>
      <c r="D18" s="16">
        <v>1066178.415947716</v>
      </c>
      <c r="E18" s="46">
        <f>+IPP!$N$6</f>
        <v>1.4163852709438816</v>
      </c>
      <c r="F18" s="40">
        <f t="shared" ref="F18:F21" si="0">+D18*E18</f>
        <v>1510119.404546624</v>
      </c>
      <c r="G18" s="41">
        <f>(F18*($D$8/(1-(1+$D$8)^(-$D$10))))</f>
        <v>192305.41436427971</v>
      </c>
      <c r="H18" s="40">
        <f t="shared" ref="H18:H21" si="1">+F18*$D$12</f>
        <v>46813.701540945345</v>
      </c>
      <c r="I18" s="42">
        <v>11</v>
      </c>
      <c r="J18" s="43">
        <f t="shared" ref="J18:J21" si="2">+(G18+H18)*(1/I18)</f>
        <v>21738.101445929551</v>
      </c>
      <c r="K18" s="44">
        <f>((J18*(1-(1+$D$8)^(-$D$10))/$D$8))</f>
        <v>170703.0918501211</v>
      </c>
      <c r="L18" s="45">
        <f>((K18*D$9)/(1-(1+D$9)^(-$D$11)))</f>
        <v>1715.1100461459234</v>
      </c>
    </row>
    <row r="19" spans="1:13" s="12" customFormat="1" ht="15" x14ac:dyDescent="0.25">
      <c r="B19" s="62"/>
      <c r="C19" s="15" t="s">
        <v>28</v>
      </c>
      <c r="D19" s="16">
        <v>1619142.4292547307</v>
      </c>
      <c r="E19" s="46">
        <f>+IPP!$N$6</f>
        <v>1.4163852709438816</v>
      </c>
      <c r="F19" s="40">
        <f t="shared" si="0"/>
        <v>2293329.4883566964</v>
      </c>
      <c r="G19" s="41">
        <f>(F19*($D$8/(1-(1+$D$8)^(-$D$10))))</f>
        <v>292042.91806624481</v>
      </c>
      <c r="H19" s="40">
        <f t="shared" si="1"/>
        <v>71093.214139057585</v>
      </c>
      <c r="I19" s="42">
        <v>11</v>
      </c>
      <c r="J19" s="43">
        <f t="shared" si="2"/>
        <v>33012.375655027485</v>
      </c>
      <c r="K19" s="44">
        <f>((J19*(1-(1+$D$8)^(-$D$10))/$D$8))</f>
        <v>259236.74188603385</v>
      </c>
      <c r="L19" s="45">
        <f>((K19*D$9)/(1-(1+D$9)^(-$D$11)))</f>
        <v>2604.6367146604143</v>
      </c>
    </row>
    <row r="20" spans="1:13" s="12" customFormat="1" ht="26.25" x14ac:dyDescent="0.25">
      <c r="B20" s="54" t="s">
        <v>29</v>
      </c>
      <c r="C20" s="22" t="s">
        <v>30</v>
      </c>
      <c r="D20" s="16">
        <v>164187.03302517073</v>
      </c>
      <c r="E20" s="46">
        <f>+IPP!$N$6</f>
        <v>1.4163852709438816</v>
      </c>
      <c r="F20" s="40">
        <f t="shared" si="0"/>
        <v>232552.09525682847</v>
      </c>
      <c r="G20" s="41">
        <f>(F20*($D$8/(1-(1+$D$8)^(-$D$10))))</f>
        <v>29614.232427582261</v>
      </c>
      <c r="H20" s="40">
        <f t="shared" si="1"/>
        <v>7209.1149529616823</v>
      </c>
      <c r="I20" s="42">
        <v>17</v>
      </c>
      <c r="J20" s="43">
        <f t="shared" si="2"/>
        <v>2166.0792576790554</v>
      </c>
      <c r="K20" s="44">
        <f>((J20*(1-(1+$D$8)^(-$D$10))/$D$8))</f>
        <v>17009.600741718252</v>
      </c>
      <c r="L20" s="45">
        <f>((K20*D$9)/(1-(1+D$9)^(-$D$11)))</f>
        <v>170.9010469398327</v>
      </c>
      <c r="M20" s="34"/>
    </row>
    <row r="21" spans="1:13" s="12" customFormat="1" ht="26.25" x14ac:dyDescent="0.25">
      <c r="B21" s="55"/>
      <c r="C21" s="22" t="s">
        <v>31</v>
      </c>
      <c r="D21" s="16">
        <v>164187.03302517073</v>
      </c>
      <c r="E21" s="46">
        <f>+IPP!$N$6</f>
        <v>1.4163852709438816</v>
      </c>
      <c r="F21" s="40">
        <f t="shared" si="0"/>
        <v>232552.09525682847</v>
      </c>
      <c r="G21" s="41">
        <f>(F21*($D$8/(1-(1+$D$8)^(-$D$10))))</f>
        <v>29614.232427582261</v>
      </c>
      <c r="H21" s="40">
        <f t="shared" si="1"/>
        <v>7209.1149529616823</v>
      </c>
      <c r="I21" s="42">
        <v>34</v>
      </c>
      <c r="J21" s="43">
        <f t="shared" si="2"/>
        <v>1083.0396288395277</v>
      </c>
      <c r="K21" s="44">
        <f>((J21*(1-(1+$D$8)^(-$D$10))/$D$8))</f>
        <v>8504.8003708591259</v>
      </c>
      <c r="L21" s="45">
        <f>((K21*D$9)/(1-(1+D$9)^(-$D$11)))</f>
        <v>85.450523469916348</v>
      </c>
      <c r="M21" s="34"/>
    </row>
    <row r="22" spans="1:13" x14ac:dyDescent="0.2">
      <c r="B22" s="4" t="s">
        <v>32</v>
      </c>
      <c r="G22" s="4"/>
      <c r="H22" s="11"/>
      <c r="I22" s="23"/>
    </row>
    <row r="23" spans="1:13" x14ac:dyDescent="0.2">
      <c r="G23" s="4"/>
      <c r="H23" s="11"/>
      <c r="I23" s="23"/>
    </row>
    <row r="24" spans="1:13" x14ac:dyDescent="0.2">
      <c r="G24" s="4"/>
      <c r="H24" s="11"/>
      <c r="I24" s="23"/>
    </row>
    <row r="25" spans="1:13" x14ac:dyDescent="0.2">
      <c r="G25" s="4"/>
      <c r="H25" s="11"/>
      <c r="I25" s="23"/>
    </row>
    <row r="26" spans="1:13" x14ac:dyDescent="0.2">
      <c r="G26" s="4"/>
      <c r="H26" s="11"/>
      <c r="I26" s="23"/>
    </row>
    <row r="27" spans="1:13" x14ac:dyDescent="0.2">
      <c r="G27" s="4"/>
      <c r="H27" s="11"/>
      <c r="I27" s="23"/>
    </row>
    <row r="28" spans="1:13" x14ac:dyDescent="0.2">
      <c r="G28" s="4"/>
      <c r="H28" s="11"/>
      <c r="I28" s="23"/>
    </row>
    <row r="29" spans="1:13" x14ac:dyDescent="0.2">
      <c r="G29" s="4"/>
      <c r="H29" s="11"/>
      <c r="I29" s="23"/>
    </row>
    <row r="30" spans="1:13" x14ac:dyDescent="0.2">
      <c r="G30" s="4"/>
      <c r="H30" s="11"/>
      <c r="I30" s="23"/>
    </row>
    <row r="31" spans="1:13" x14ac:dyDescent="0.2">
      <c r="G31" s="4"/>
      <c r="H31" s="11"/>
      <c r="I31" s="23"/>
    </row>
    <row r="32" spans="1:13" s="24" customFormat="1" x14ac:dyDescent="0.2">
      <c r="A32" s="4"/>
      <c r="B32" s="4"/>
      <c r="C32" s="4"/>
      <c r="D32" s="4"/>
      <c r="E32" s="4"/>
      <c r="F32" s="4"/>
      <c r="G32" s="4"/>
      <c r="H32" s="11"/>
      <c r="I32" s="23"/>
    </row>
    <row r="33" spans="1:9" s="24" customFormat="1" x14ac:dyDescent="0.2">
      <c r="A33" s="4"/>
      <c r="B33" s="4"/>
      <c r="C33" s="4"/>
      <c r="D33" s="4"/>
      <c r="E33" s="4"/>
      <c r="F33" s="4"/>
      <c r="G33" s="4"/>
      <c r="H33" s="25"/>
      <c r="I33" s="23"/>
    </row>
    <row r="34" spans="1:9" x14ac:dyDescent="0.2">
      <c r="G34" s="4"/>
      <c r="H34" s="25"/>
      <c r="I34" s="23"/>
    </row>
    <row r="35" spans="1:9" x14ac:dyDescent="0.2">
      <c r="G35" s="4"/>
      <c r="I35" s="23"/>
    </row>
    <row r="36" spans="1:9" x14ac:dyDescent="0.2">
      <c r="G36" s="4"/>
    </row>
    <row r="37" spans="1:9" x14ac:dyDescent="0.2">
      <c r="G37" s="4"/>
    </row>
  </sheetData>
  <mergeCells count="13">
    <mergeCell ref="B20:B21"/>
    <mergeCell ref="E12:G12"/>
    <mergeCell ref="C13:D13"/>
    <mergeCell ref="E13:G13"/>
    <mergeCell ref="B16:C16"/>
    <mergeCell ref="B17:B19"/>
    <mergeCell ref="C1:I5"/>
    <mergeCell ref="B6:I6"/>
    <mergeCell ref="B8:B13"/>
    <mergeCell ref="E8:G8"/>
    <mergeCell ref="E9:G9"/>
    <mergeCell ref="E10:G10"/>
    <mergeCell ref="E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80FA-34D5-4A5B-8784-DECD94E9050C}">
  <dimension ref="A1"/>
  <sheetViews>
    <sheetView topLeftCell="A22" workbookViewId="0">
      <selection activeCell="I10" sqref="I10"/>
    </sheetView>
  </sheetViews>
  <sheetFormatPr baseColWidth="10" defaultColWidth="10.85546875" defaultRowHeight="15" x14ac:dyDescent="0.25"/>
  <cols>
    <col min="1" max="16384" width="10.85546875" style="1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1C7F-B4D8-4F14-B847-EFD3F87097DF}">
  <sheetPr codeName="Hoja10"/>
  <dimension ref="B1:N6"/>
  <sheetViews>
    <sheetView workbookViewId="0">
      <selection activeCell="L6" sqref="L6"/>
    </sheetView>
  </sheetViews>
  <sheetFormatPr baseColWidth="10" defaultColWidth="11.42578125" defaultRowHeight="15" x14ac:dyDescent="0.25"/>
  <cols>
    <col min="3" max="4" width="21.28515625" bestFit="1" customWidth="1"/>
    <col min="5" max="5" width="13.5703125" customWidth="1"/>
    <col min="6" max="6" width="0" hidden="1" customWidth="1"/>
    <col min="7" max="7" width="13.140625" bestFit="1" customWidth="1"/>
  </cols>
  <sheetData>
    <row r="1" spans="2:14" x14ac:dyDescent="0.25">
      <c r="B1" t="s">
        <v>44</v>
      </c>
    </row>
    <row r="3" spans="2:14" x14ac:dyDescent="0.25">
      <c r="B3" s="29" t="s">
        <v>45</v>
      </c>
      <c r="C3" s="29">
        <v>2011</v>
      </c>
      <c r="D3" s="29">
        <v>2012</v>
      </c>
      <c r="E3" s="29">
        <v>2013</v>
      </c>
      <c r="F3" s="29">
        <v>2014</v>
      </c>
      <c r="G3" s="29">
        <v>2015</v>
      </c>
      <c r="H3" s="29">
        <v>2016</v>
      </c>
      <c r="I3" s="29">
        <v>2017</v>
      </c>
      <c r="J3" s="29">
        <v>2018</v>
      </c>
      <c r="K3" s="29">
        <v>2019</v>
      </c>
      <c r="L3" s="29">
        <v>2020</v>
      </c>
      <c r="M3" s="29">
        <v>2021</v>
      </c>
      <c r="N3" s="29">
        <v>2022</v>
      </c>
    </row>
    <row r="4" spans="2:14" x14ac:dyDescent="0.25">
      <c r="B4" s="30" t="s">
        <v>46</v>
      </c>
      <c r="C4" s="30">
        <v>97.39</v>
      </c>
      <c r="D4" s="30">
        <v>94.51</v>
      </c>
      <c r="E4" s="30">
        <v>94.05</v>
      </c>
      <c r="F4" s="30">
        <v>100</v>
      </c>
      <c r="G4" s="30">
        <v>109.57</v>
      </c>
      <c r="H4" s="30">
        <v>111.34</v>
      </c>
      <c r="I4" s="30">
        <v>113.41</v>
      </c>
      <c r="J4" s="30">
        <v>116.91</v>
      </c>
      <c r="K4" s="31">
        <v>122.358006</v>
      </c>
      <c r="L4" s="32">
        <v>124.38</v>
      </c>
      <c r="M4" s="32">
        <v>147.55000000000001</v>
      </c>
      <c r="N4" s="32">
        <v>176.17</v>
      </c>
    </row>
    <row r="5" spans="2:14" x14ac:dyDescent="0.25">
      <c r="B5" s="32"/>
      <c r="C5" s="32"/>
      <c r="D5" s="33">
        <f>(D4-C4)/C4</f>
        <v>-2.9571824622651149E-2</v>
      </c>
      <c r="E5" s="33">
        <f t="shared" ref="E5:I5" si="0">(E4-D4)/D4</f>
        <v>-4.867209819066849E-3</v>
      </c>
      <c r="F5" s="33">
        <f t="shared" si="0"/>
        <v>6.3264221158958037E-2</v>
      </c>
      <c r="G5" s="33">
        <f t="shared" si="0"/>
        <v>9.5699999999999938E-2</v>
      </c>
      <c r="H5" s="33">
        <f t="shared" si="0"/>
        <v>1.6154056767363423E-2</v>
      </c>
      <c r="I5" s="33">
        <f t="shared" si="0"/>
        <v>1.8591701095742708E-2</v>
      </c>
      <c r="J5" s="33">
        <f>(J4-I4)/I4</f>
        <v>3.0861476060312143E-2</v>
      </c>
      <c r="K5" s="33">
        <f>(K4-J4)/J4</f>
        <v>4.6600000000000058E-2</v>
      </c>
      <c r="L5" s="33">
        <f t="shared" ref="L5" si="1">(L4-K4)/K4</f>
        <v>1.6525228434990942E-2</v>
      </c>
      <c r="M5" s="33">
        <f>(M4-L4)/L4</f>
        <v>0.18628396848367917</v>
      </c>
      <c r="N5" s="33">
        <f>(N4-M4)/M4</f>
        <v>0.1939681463910537</v>
      </c>
    </row>
    <row r="6" spans="2:14" x14ac:dyDescent="0.25">
      <c r="J6" s="28"/>
      <c r="L6">
        <f t="shared" ref="L6:M6" si="2">+(L4/$L$4)</f>
        <v>1</v>
      </c>
      <c r="M6">
        <f t="shared" si="2"/>
        <v>1.1862839684836792</v>
      </c>
      <c r="N6">
        <f>+(N4/$L$4)</f>
        <v>1.4163852709438816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cde57e-7a60-4242-81c7-90ae4b2e49ba">
      <Terms xmlns="http://schemas.microsoft.com/office/infopath/2007/PartnerControls"/>
    </lcf76f155ced4ddcb4097134ff3c332f>
    <TaxCatchAll xmlns="f72c01b5-b245-40b3-991c-2542550e2003" xsi:nil="true"/>
    <SharedWithUsers xmlns="f72c01b5-b245-40b3-991c-2542550e2003">
      <UserInfo>
        <DisplayName>Carlos Andrés Rueda Velasco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3BD9923D3EDE4CB35E348746CC1CB6" ma:contentTypeVersion="15" ma:contentTypeDescription="Crear nuevo documento." ma:contentTypeScope="" ma:versionID="da9677ae7a965ffea88abd5a8de2e501">
  <xsd:schema xmlns:xsd="http://www.w3.org/2001/XMLSchema" xmlns:xs="http://www.w3.org/2001/XMLSchema" xmlns:p="http://schemas.microsoft.com/office/2006/metadata/properties" xmlns:ns2="6ccde57e-7a60-4242-81c7-90ae4b2e49ba" xmlns:ns3="f72c01b5-b245-40b3-991c-2542550e2003" targetNamespace="http://schemas.microsoft.com/office/2006/metadata/properties" ma:root="true" ma:fieldsID="535b29368cab4f559d48dc5c41a686bd" ns2:_="" ns3:_="">
    <xsd:import namespace="6ccde57e-7a60-4242-81c7-90ae4b2e49ba"/>
    <xsd:import namespace="f72c01b5-b245-40b3-991c-2542550e2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e57e-7a60-4242-81c7-90ae4b2e4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c01b5-b245-40b3-991c-2542550e2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91fd452-1191-4b95-b471-23fc7fd53dad}" ma:internalName="TaxCatchAll" ma:showField="CatchAllData" ma:web="f72c01b5-b245-40b3-991c-2542550e2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911C48-BDB7-4855-BB41-EFEE6CAF83F9}">
  <ds:schemaRefs>
    <ds:schemaRef ds:uri="http://schemas.microsoft.com/office/2006/metadata/properties"/>
    <ds:schemaRef ds:uri="http://schemas.microsoft.com/office/infopath/2007/PartnerControls"/>
    <ds:schemaRef ds:uri="6ccde57e-7a60-4242-81c7-90ae4b2e49ba"/>
    <ds:schemaRef ds:uri="f72c01b5-b245-40b3-991c-2542550e2003"/>
  </ds:schemaRefs>
</ds:datastoreItem>
</file>

<file path=customXml/itemProps2.xml><?xml version="1.0" encoding="utf-8"?>
<ds:datastoreItem xmlns:ds="http://schemas.openxmlformats.org/officeDocument/2006/customXml" ds:itemID="{43EAE986-047A-45CC-AC4B-47A788B4C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de57e-7a60-4242-81c7-90ae4b2e49ba"/>
    <ds:schemaRef ds:uri="f72c01b5-b245-40b3-991c-2542550e2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645F8C-4B5B-4665-92F2-B9AE9F339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Presentación</vt:lpstr>
      <vt:lpstr>Tarifas_Sector_Eléctrico</vt:lpstr>
      <vt:lpstr>Tarifas_Sector_TELCO</vt:lpstr>
      <vt:lpstr>Metodología_Aplicada</vt:lpstr>
      <vt:lpstr>IPP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Ricaurte lora</dc:creator>
  <cp:keywords/>
  <dc:description/>
  <cp:lastModifiedBy>Kristy Lorena Vivas Olaya</cp:lastModifiedBy>
  <cp:revision/>
  <dcterms:created xsi:type="dcterms:W3CDTF">2022-09-10T00:06:35Z</dcterms:created>
  <dcterms:modified xsi:type="dcterms:W3CDTF">2023-04-20T02:39:39Z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0x010100913BD9923D3EDE4CB35E348746CC1CB6</vt:lpwstr>
  </property>
  <property fmtid="{D5CDD505-2E9C-101B-9397-08002B2CF9AE}" pid="3" name="MediaServiceImageTags">
    <vt:lpwstr/>
  </property>
</Properties>
</file>