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crcom-my.sharepoint.com/personal/camilo_pinilla_crcom_gov_co/Documents/Camilo/Reconexión/"/>
    </mc:Choice>
  </mc:AlternateContent>
  <xr:revisionPtr revIDLastSave="27" documentId="8_{D01FC175-49EB-42A0-A1A3-BA2C202DAD93}" xr6:coauthVersionLast="47" xr6:coauthVersionMax="47" xr10:uidLastSave="{6CF9E476-289A-43FE-AEFC-B2541F9484E1}"/>
  <bookViews>
    <workbookView xWindow="20370" yWindow="-120" windowWidth="20730" windowHeight="11040" activeTab="1" xr2:uid="{5F5942CC-ED4F-403F-935B-CAC3844B4DA1}"/>
  </bookViews>
  <sheets>
    <sheet name="Reconexión Móvil" sheetId="3" r:id="rId1"/>
    <sheet name="Reconexión Fij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2" l="1"/>
  <c r="F17" i="2"/>
  <c r="G37" i="2" l="1"/>
  <c r="G38" i="2"/>
  <c r="G39" i="2"/>
  <c r="G44" i="2"/>
  <c r="G45" i="2"/>
  <c r="G46" i="2"/>
  <c r="G47" i="2"/>
  <c r="G48" i="2"/>
  <c r="G49" i="2"/>
  <c r="G50" i="2"/>
  <c r="G51" i="2"/>
  <c r="G34" i="2"/>
  <c r="V37" i="2"/>
  <c r="V38" i="2"/>
  <c r="V39" i="2"/>
  <c r="V40" i="2"/>
  <c r="G40" i="2" s="1"/>
  <c r="V41" i="2"/>
  <c r="G41" i="2" s="1"/>
  <c r="V44" i="2"/>
  <c r="V45" i="2"/>
  <c r="V46" i="2"/>
  <c r="V47" i="2"/>
  <c r="V48" i="2"/>
  <c r="V49" i="2"/>
  <c r="V50" i="2"/>
  <c r="V51" i="2"/>
  <c r="V34" i="2"/>
  <c r="T35" i="2"/>
  <c r="V35" i="2" s="1"/>
  <c r="G35" i="2" s="1"/>
  <c r="T36" i="2"/>
  <c r="V36" i="2" s="1"/>
  <c r="G36" i="2" s="1"/>
  <c r="T37" i="2"/>
  <c r="T38" i="2"/>
  <c r="T39" i="2"/>
  <c r="T40" i="2"/>
  <c r="T41" i="2"/>
  <c r="T42" i="2"/>
  <c r="V42" i="2" s="1"/>
  <c r="G42" i="2" s="1"/>
  <c r="T43" i="2"/>
  <c r="V43" i="2" s="1"/>
  <c r="G43" i="2" s="1"/>
  <c r="T44" i="2"/>
  <c r="T45" i="2"/>
  <c r="T46" i="2"/>
  <c r="T47" i="2"/>
  <c r="T48" i="2"/>
  <c r="T49" i="2"/>
  <c r="T50" i="2"/>
  <c r="T51" i="2"/>
  <c r="T34" i="2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32" i="3"/>
  <c r="V49" i="3" l="1"/>
  <c r="H49" i="3" s="1"/>
  <c r="V32" i="3"/>
  <c r="J115" i="3"/>
  <c r="I115" i="3"/>
  <c r="H115" i="3"/>
  <c r="G115" i="3"/>
  <c r="K114" i="3"/>
  <c r="K115" i="3" s="1"/>
  <c r="J114" i="3"/>
  <c r="I114" i="3"/>
  <c r="H114" i="3"/>
  <c r="G114" i="3"/>
  <c r="F114" i="3"/>
  <c r="K113" i="3"/>
  <c r="J113" i="3"/>
  <c r="I113" i="3"/>
  <c r="H113" i="3"/>
  <c r="G113" i="3"/>
  <c r="F113" i="3"/>
  <c r="F115" i="3" s="1"/>
  <c r="K111" i="3"/>
  <c r="I111" i="3"/>
  <c r="K107" i="3"/>
  <c r="J107" i="3"/>
  <c r="I107" i="3"/>
  <c r="H107" i="3"/>
  <c r="G107" i="3"/>
  <c r="F107" i="3"/>
  <c r="K106" i="3"/>
  <c r="J106" i="3"/>
  <c r="I106" i="3"/>
  <c r="H106" i="3"/>
  <c r="G106" i="3"/>
  <c r="G105" i="3"/>
  <c r="F105" i="3"/>
  <c r="F106" i="3" s="1"/>
  <c r="H97" i="3"/>
  <c r="H96" i="3"/>
  <c r="H95" i="3"/>
  <c r="H94" i="3"/>
  <c r="H93" i="3"/>
  <c r="H92" i="3"/>
  <c r="H91" i="3"/>
  <c r="H90" i="3"/>
  <c r="H89" i="3"/>
  <c r="F125" i="3" s="1"/>
  <c r="H88" i="3"/>
  <c r="H87" i="3"/>
  <c r="H84" i="3"/>
  <c r="H83" i="3"/>
  <c r="F124" i="3" s="1"/>
  <c r="H82" i="3"/>
  <c r="H81" i="3"/>
  <c r="H80" i="3"/>
  <c r="F76" i="3"/>
  <c r="H86" i="3" s="1"/>
  <c r="O50" i="3"/>
  <c r="N50" i="3"/>
  <c r="M50" i="3"/>
  <c r="F43" i="3" s="1"/>
  <c r="L50" i="3"/>
  <c r="K50" i="3"/>
  <c r="F46" i="3" s="1"/>
  <c r="J50" i="3"/>
  <c r="I50" i="3"/>
  <c r="F48" i="3" s="1"/>
  <c r="F49" i="3"/>
  <c r="V48" i="3"/>
  <c r="V47" i="3"/>
  <c r="V46" i="3"/>
  <c r="V45" i="3"/>
  <c r="H45" i="3" s="1"/>
  <c r="F45" i="3"/>
  <c r="V44" i="3"/>
  <c r="V43" i="3"/>
  <c r="V42" i="3"/>
  <c r="V41" i="3"/>
  <c r="H41" i="3" s="1"/>
  <c r="F41" i="3"/>
  <c r="V40" i="3"/>
  <c r="V39" i="3"/>
  <c r="V38" i="3"/>
  <c r="V37" i="3"/>
  <c r="H37" i="3" s="1"/>
  <c r="F37" i="3"/>
  <c r="V36" i="3"/>
  <c r="V35" i="3"/>
  <c r="V34" i="3"/>
  <c r="V33" i="3"/>
  <c r="H33" i="3" s="1"/>
  <c r="F33" i="3"/>
  <c r="K118" i="2"/>
  <c r="J118" i="2"/>
  <c r="I118" i="2"/>
  <c r="H118" i="2"/>
  <c r="G118" i="2"/>
  <c r="F118" i="2"/>
  <c r="K117" i="2"/>
  <c r="J117" i="2"/>
  <c r="I117" i="2"/>
  <c r="H117" i="2"/>
  <c r="G117" i="2"/>
  <c r="F117" i="2"/>
  <c r="K111" i="2"/>
  <c r="J111" i="2"/>
  <c r="I111" i="2"/>
  <c r="H111" i="2"/>
  <c r="K110" i="2"/>
  <c r="J110" i="2"/>
  <c r="I110" i="2"/>
  <c r="H110" i="2"/>
  <c r="F109" i="2"/>
  <c r="F110" i="2" s="1"/>
  <c r="F80" i="2"/>
  <c r="H97" i="2" s="1"/>
  <c r="O52" i="2"/>
  <c r="N52" i="2"/>
  <c r="M52" i="2"/>
  <c r="L52" i="2"/>
  <c r="K52" i="2"/>
  <c r="J52" i="2"/>
  <c r="I52" i="2"/>
  <c r="J119" i="2" l="1"/>
  <c r="F127" i="3"/>
  <c r="F19" i="3" s="1"/>
  <c r="I110" i="3"/>
  <c r="F49" i="2"/>
  <c r="H91" i="2"/>
  <c r="H119" i="2"/>
  <c r="I119" i="2"/>
  <c r="H92" i="2"/>
  <c r="H93" i="2"/>
  <c r="I115" i="2" s="1"/>
  <c r="G119" i="2"/>
  <c r="K119" i="2"/>
  <c r="H101" i="2"/>
  <c r="F119" i="2"/>
  <c r="F110" i="3"/>
  <c r="H110" i="3"/>
  <c r="I104" i="3"/>
  <c r="I112" i="3" s="1"/>
  <c r="H43" i="3"/>
  <c r="H46" i="3"/>
  <c r="H47" i="3"/>
  <c r="H48" i="3"/>
  <c r="H32" i="3"/>
  <c r="H34" i="3"/>
  <c r="H35" i="3"/>
  <c r="H38" i="3"/>
  <c r="G110" i="3"/>
  <c r="F39" i="3"/>
  <c r="H39" i="3" s="1"/>
  <c r="J110" i="3"/>
  <c r="K110" i="3"/>
  <c r="K104" i="3" s="1"/>
  <c r="K112" i="3" s="1"/>
  <c r="F47" i="3"/>
  <c r="F35" i="3"/>
  <c r="F111" i="3"/>
  <c r="H85" i="3"/>
  <c r="G111" i="3"/>
  <c r="F32" i="3"/>
  <c r="F36" i="3"/>
  <c r="H36" i="3" s="1"/>
  <c r="F40" i="3"/>
  <c r="H40" i="3" s="1"/>
  <c r="F44" i="3"/>
  <c r="H44" i="3" s="1"/>
  <c r="H111" i="3"/>
  <c r="H104" i="3" s="1"/>
  <c r="H112" i="3" s="1"/>
  <c r="J111" i="3"/>
  <c r="F34" i="3"/>
  <c r="F38" i="3"/>
  <c r="F42" i="3"/>
  <c r="H42" i="3" s="1"/>
  <c r="F46" i="2"/>
  <c r="F47" i="2"/>
  <c r="F44" i="2"/>
  <c r="F35" i="2"/>
  <c r="F43" i="2"/>
  <c r="F48" i="2"/>
  <c r="F42" i="2"/>
  <c r="F39" i="2"/>
  <c r="F50" i="2"/>
  <c r="F38" i="2"/>
  <c r="F40" i="2"/>
  <c r="F37" i="2"/>
  <c r="F34" i="2"/>
  <c r="F51" i="2"/>
  <c r="F45" i="2"/>
  <c r="F36" i="2"/>
  <c r="F41" i="2"/>
  <c r="F115" i="2"/>
  <c r="H85" i="2"/>
  <c r="H95" i="2"/>
  <c r="G109" i="2"/>
  <c r="H115" i="2"/>
  <c r="H88" i="2"/>
  <c r="H98" i="2"/>
  <c r="F129" i="2" s="1"/>
  <c r="F111" i="2"/>
  <c r="H89" i="2"/>
  <c r="H99" i="2"/>
  <c r="H84" i="2"/>
  <c r="G115" i="2"/>
  <c r="H86" i="2"/>
  <c r="H96" i="2"/>
  <c r="K115" i="2"/>
  <c r="H90" i="2"/>
  <c r="H100" i="2"/>
  <c r="F130" i="2" s="1"/>
  <c r="H94" i="2"/>
  <c r="H87" i="2"/>
  <c r="J114" i="2" s="1"/>
  <c r="F132" i="2" l="1"/>
  <c r="F104" i="3"/>
  <c r="F112" i="3" s="1"/>
  <c r="J104" i="3"/>
  <c r="J112" i="3" s="1"/>
  <c r="J115" i="2"/>
  <c r="F140" i="2"/>
  <c r="K114" i="2"/>
  <c r="K108" i="2" s="1"/>
  <c r="K116" i="2" s="1"/>
  <c r="F139" i="2"/>
  <c r="G104" i="3"/>
  <c r="G112" i="3" s="1"/>
  <c r="F117" i="3" s="1"/>
  <c r="O51" i="3"/>
  <c r="N51" i="3"/>
  <c r="L51" i="3"/>
  <c r="K51" i="3"/>
  <c r="J51" i="3"/>
  <c r="I51" i="3"/>
  <c r="M51" i="3"/>
  <c r="G110" i="2"/>
  <c r="G111" i="2"/>
  <c r="I114" i="2"/>
  <c r="H114" i="2"/>
  <c r="G114" i="2"/>
  <c r="G108" i="2" s="1"/>
  <c r="F114" i="2"/>
  <c r="H108" i="2" l="1"/>
  <c r="H116" i="2" s="1"/>
  <c r="F108" i="2"/>
  <c r="F116" i="2" s="1"/>
  <c r="F75" i="2"/>
  <c r="F74" i="2"/>
  <c r="I108" i="2"/>
  <c r="I116" i="2" s="1"/>
  <c r="J108" i="2"/>
  <c r="J116" i="2" s="1"/>
  <c r="F71" i="3"/>
  <c r="F12" i="3" s="1"/>
  <c r="F142" i="2"/>
  <c r="F20" i="2" s="1"/>
  <c r="F63" i="3" a="1"/>
  <c r="G116" i="2"/>
  <c r="F121" i="2" l="1"/>
  <c r="F73" i="2" s="1"/>
  <c r="F12" i="2" s="1"/>
  <c r="F69" i="3"/>
  <c r="F63" i="3"/>
  <c r="F23" i="3" s="1"/>
  <c r="F68" i="3"/>
  <c r="F22" i="3" s="1"/>
  <c r="F67" i="3"/>
  <c r="F64" i="3"/>
  <c r="F66" i="3"/>
  <c r="F65" i="3"/>
  <c r="F13" i="3" s="1"/>
  <c r="H47" i="2"/>
  <c r="H44" i="2"/>
  <c r="H48" i="2"/>
  <c r="H49" i="2"/>
  <c r="F15" i="3" l="1"/>
  <c r="F21" i="3"/>
  <c r="F17" i="3"/>
  <c r="F16" i="3"/>
  <c r="F20" i="3"/>
  <c r="F14" i="3"/>
  <c r="F18" i="3"/>
  <c r="H50" i="2"/>
  <c r="H45" i="2"/>
  <c r="H46" i="2"/>
  <c r="F24" i="3" l="1"/>
  <c r="F9" i="3" s="1"/>
  <c r="H37" i="2"/>
  <c r="H38" i="2"/>
  <c r="H35" i="2" l="1"/>
  <c r="H36" i="2"/>
  <c r="H39" i="2"/>
  <c r="H40" i="2"/>
  <c r="H34" i="2" l="1"/>
  <c r="H51" i="2" l="1"/>
  <c r="H42" i="2"/>
  <c r="H43" i="2"/>
  <c r="H41" i="2" l="1"/>
  <c r="M53" i="2" l="1"/>
  <c r="L53" i="2"/>
  <c r="K53" i="2"/>
  <c r="O53" i="2"/>
  <c r="N53" i="2"/>
  <c r="J53" i="2"/>
  <c r="I53" i="2"/>
  <c r="F65" i="2" l="1" a="1"/>
  <c r="F68" i="2" s="1"/>
  <c r="F69" i="2" l="1"/>
  <c r="F70" i="2"/>
  <c r="F24" i="2" s="1"/>
  <c r="F65" i="2"/>
  <c r="F25" i="2" s="1"/>
  <c r="F66" i="2"/>
  <c r="F21" i="2" s="1"/>
  <c r="F67" i="2"/>
  <c r="F13" i="2" s="1"/>
  <c r="F71" i="2"/>
  <c r="F14" i="2" s="1"/>
  <c r="F18" i="2"/>
  <c r="F23" i="2"/>
  <c r="F15" i="2"/>
  <c r="F16" i="2" l="1"/>
  <c r="F19" i="2"/>
  <c r="F26" i="2" l="1"/>
  <c r="F9" i="2" l="1"/>
</calcChain>
</file>

<file path=xl/sharedStrings.xml><?xml version="1.0" encoding="utf-8"?>
<sst xmlns="http://schemas.openxmlformats.org/spreadsheetml/2006/main" count="583" uniqueCount="168">
  <si>
    <t>Suspensión y Reconexión de Servicios Públicos de Telecomunicaciones</t>
  </si>
  <si>
    <t>Id</t>
  </si>
  <si>
    <t>Item</t>
  </si>
  <si>
    <t>Valor</t>
  </si>
  <si>
    <t xml:space="preserve">Suspensión y Reconexión de Servicios Públicos </t>
  </si>
  <si>
    <t>[$Col/evento]</t>
  </si>
  <si>
    <t>Actividad</t>
  </si>
  <si>
    <t xml:space="preserve">Aviso previo de Suspensión </t>
  </si>
  <si>
    <t>[$Col]</t>
  </si>
  <si>
    <t>Aviso al cliente (IVR, Call Center, Email, SMS)</t>
  </si>
  <si>
    <t>Recolección Información Cliente</t>
  </si>
  <si>
    <t>Datawarehouse - Administración de Información</t>
  </si>
  <si>
    <t>Control de Saldos en Sistemas</t>
  </si>
  <si>
    <t>Gestión de Relación con el Cliente - CRM</t>
  </si>
  <si>
    <t>Registro en Sistema de Facturación</t>
  </si>
  <si>
    <t>Billing - Facturación y  Recaudación de Clientes</t>
  </si>
  <si>
    <t>Ejecutar Corte de Servicio en CORE</t>
  </si>
  <si>
    <t>Activación Conmutación &amp; Workflow de Provisión</t>
  </si>
  <si>
    <t>Controlar y Capturar Pagos Cajas</t>
  </si>
  <si>
    <t>Actualizar Control de Saldos en Sistemas</t>
  </si>
  <si>
    <t>Aprobación Reconexión Técnica</t>
  </si>
  <si>
    <t>Ejecutar Reposición en CORE</t>
  </si>
  <si>
    <t xml:space="preserve">Incluir y Activar Cobro en Facturación </t>
  </si>
  <si>
    <t>Prueba y validación Técnica</t>
  </si>
  <si>
    <t>Inventario de Red &amp; Housing &amp; Planta Externa</t>
  </si>
  <si>
    <t>Gestión de Órdenes</t>
  </si>
  <si>
    <t>T</t>
  </si>
  <si>
    <t>Total</t>
  </si>
  <si>
    <t>Costos de Transacciones - TI</t>
  </si>
  <si>
    <t>Sistema</t>
  </si>
  <si>
    <t>Tasa de uso por sistema</t>
  </si>
  <si>
    <t>Costo [$/Tx]</t>
  </si>
  <si>
    <t>Cobranza y Morosidad &amp; Crédito y Riesgo</t>
  </si>
  <si>
    <t>TI</t>
  </si>
  <si>
    <t>CTLP CAPEX</t>
  </si>
  <si>
    <t>CTLP OPEX</t>
  </si>
  <si>
    <t>Asignador Reconexión</t>
  </si>
  <si>
    <t xml:space="preserve">Plataforma BSS Full Stack </t>
  </si>
  <si>
    <t>Web</t>
  </si>
  <si>
    <t>Móvil/Fijo</t>
  </si>
  <si>
    <t>Catalogo de Productos</t>
  </si>
  <si>
    <t>Gestión de Productos y Servicios</t>
  </si>
  <si>
    <t>Gestión de Cuenta e Información del Cliente</t>
  </si>
  <si>
    <t>Gestión de Problemas</t>
  </si>
  <si>
    <t>Gestión de Contratos</t>
  </si>
  <si>
    <t>Inteligencia de Negocio</t>
  </si>
  <si>
    <t>Gestión de Datos</t>
  </si>
  <si>
    <t>Motor de Facturación</t>
  </si>
  <si>
    <t>Motor de Emisión</t>
  </si>
  <si>
    <t>Pagos y Recaudación</t>
  </si>
  <si>
    <t>Mediación y Recolección</t>
  </si>
  <si>
    <t>Gestión de Activos</t>
  </si>
  <si>
    <t>Contabilidad de Gestión</t>
  </si>
  <si>
    <t>Reportes Estratégicos</t>
  </si>
  <si>
    <t>Seguridad</t>
  </si>
  <si>
    <t>Usuarios</t>
  </si>
  <si>
    <t>Accesos Fijos</t>
  </si>
  <si>
    <t xml:space="preserve">Costos </t>
  </si>
  <si>
    <t>id</t>
  </si>
  <si>
    <t>Parámetros</t>
  </si>
  <si>
    <t>Costo de facturación de prestaciones</t>
  </si>
  <si>
    <t>[$/factura]</t>
  </si>
  <si>
    <t>Recargo administración y sistemas conexiones al PTR</t>
  </si>
  <si>
    <t>[]</t>
  </si>
  <si>
    <t>Valor Envío de la Cuenta</t>
  </si>
  <si>
    <t>[$/boleta]</t>
  </si>
  <si>
    <t>Valor servicio recaudación</t>
  </si>
  <si>
    <t>[UF/boleta]</t>
  </si>
  <si>
    <t>[$/Tx]</t>
  </si>
  <si>
    <t>Atender solicitud telefónica del cliente</t>
  </si>
  <si>
    <t>[$]</t>
  </si>
  <si>
    <t>Remuneraciones</t>
  </si>
  <si>
    <t>Horas Mensuales</t>
  </si>
  <si>
    <t>HH/mes</t>
  </si>
  <si>
    <t>Inflación Acumulada</t>
  </si>
  <si>
    <t>Nota: Inflación Acumulada</t>
  </si>
  <si>
    <t>Cargo de RRHH</t>
  </si>
  <si>
    <t>Remuneración</t>
  </si>
  <si>
    <t>Costo Unitario</t>
  </si>
  <si>
    <t>[$Col/año]</t>
  </si>
  <si>
    <t>[$Col/Hora]</t>
  </si>
  <si>
    <t xml:space="preserve">Costo Aviso previo de Suspensión </t>
  </si>
  <si>
    <t>IVR</t>
  </si>
  <si>
    <t>Call Center</t>
  </si>
  <si>
    <t>email</t>
  </si>
  <si>
    <t>Correo</t>
  </si>
  <si>
    <t>WHATSAPP</t>
  </si>
  <si>
    <t>SMS</t>
  </si>
  <si>
    <t>Costo directo medio de comunicación</t>
  </si>
  <si>
    <t>[$/aviso]</t>
  </si>
  <si>
    <t>Costo de personal</t>
  </si>
  <si>
    <t>Tiempo comunicación</t>
  </si>
  <si>
    <t>[segundos]</t>
  </si>
  <si>
    <t>Incorporar dato de holding time de atención</t>
  </si>
  <si>
    <t>Tiempo Asesor Comercial</t>
  </si>
  <si>
    <t>Tiempo Especialista Comercial</t>
  </si>
  <si>
    <t>% Dedicado Asesor Comercial</t>
  </si>
  <si>
    <t>[%]</t>
  </si>
  <si>
    <t>% Dedicado Especialista Comercial</t>
  </si>
  <si>
    <t>Asesor Comercial</t>
  </si>
  <si>
    <t>[$/HH]</t>
  </si>
  <si>
    <t>Especialista Comercial</t>
  </si>
  <si>
    <t>Usos</t>
  </si>
  <si>
    <t>[N°]</t>
  </si>
  <si>
    <t>Porcentaje de uso</t>
  </si>
  <si>
    <t>Uso final</t>
  </si>
  <si>
    <t>Costo Aprobación Reconexión</t>
  </si>
  <si>
    <t>Tiempo por Aprobación Reconexión</t>
  </si>
  <si>
    <t>% Dedicado Especialista</t>
  </si>
  <si>
    <t>[$/aprobación]</t>
  </si>
  <si>
    <t>Estadística de Contacto con el Cliente</t>
  </si>
  <si>
    <t>Canal de Contacto</t>
  </si>
  <si>
    <t>Proporción</t>
  </si>
  <si>
    <t>Número de comunicaciones por cliente</t>
  </si>
  <si>
    <t>Email</t>
  </si>
  <si>
    <t>Nota: Promedios ponderados informados por operadores</t>
  </si>
  <si>
    <t>Correo, carta</t>
  </si>
  <si>
    <t>Call center</t>
  </si>
  <si>
    <t>Duración llamada Call Center (segundos)</t>
  </si>
  <si>
    <t xml:space="preserve">Modelo Empresa Eficiente Fija </t>
  </si>
  <si>
    <t>Analista</t>
  </si>
  <si>
    <t>Analista Jr</t>
  </si>
  <si>
    <t>Analista Sr</t>
  </si>
  <si>
    <t>Asistente</t>
  </si>
  <si>
    <t>Auxiliar</t>
  </si>
  <si>
    <t>Consultor</t>
  </si>
  <si>
    <t>Desarrollador</t>
  </si>
  <si>
    <t>Especialista</t>
  </si>
  <si>
    <t>Ingeniero</t>
  </si>
  <si>
    <t>Ingeniero Jr</t>
  </si>
  <si>
    <t>Ingeniero Sr</t>
  </si>
  <si>
    <t>Interventor Técnico</t>
  </si>
  <si>
    <t>Interventor Técnico Jr</t>
  </si>
  <si>
    <t>Supervisor</t>
  </si>
  <si>
    <t>Supervisor Jr</t>
  </si>
  <si>
    <t>Técnico</t>
  </si>
  <si>
    <t xml:space="preserve">Modelo Empresa Eficiente Móvil </t>
  </si>
  <si>
    <t>CTLP Suspención Reconexión</t>
  </si>
  <si>
    <t>Nota: Obtenido del promedio ponderado de los valores informados de la carga estimada sobre todos los sistemas móviles</t>
  </si>
  <si>
    <t>Acceso Móviles</t>
  </si>
  <si>
    <t xml:space="preserve">Costo Aviso al Cliente previo de Suspensión </t>
  </si>
  <si>
    <t>Datos de Versión Pública</t>
  </si>
  <si>
    <t>TRM Móvil Modelo Publicado</t>
  </si>
  <si>
    <t>TRM Móvil Modelo Utilizado</t>
  </si>
  <si>
    <t>Nota: Valor de ecuación 'BUSCARV($C80;'[Modelo-Redes-Fijas-2000-38-3-20.xlsm]RRHH'!$F$260:$H$292;3;FALSO)' aplicada en el modelo Fijo, Remuneración Anual</t>
  </si>
  <si>
    <t>Nota: Rango del modelo Móvil 'Cálculo Tarifario'!L4750:L4767, actualizado por TRM del Costo Total de Largo Plazo de Sistemas, ecuación ='[Modelo-Movil-CRC.xlsx]Cálculo Tarifario'!$L$4750:$L$4767*F147/F146</t>
  </si>
  <si>
    <t>Nota: Rango del modelo Móvil 'Cálculo Tarifario'!L4769:L4786, actualizado por TRM del Costo Total de Largo Plazo de Sistemas, ecuación '[Modelo-Movil-CRC.xlsx]Cálculo Tarifario'!$L$4769:$L$4786*F147/F146</t>
  </si>
  <si>
    <t>TRM Fija Modelo Utilizado</t>
  </si>
  <si>
    <t>Tcasa Costo Capital Modelo Fijo</t>
  </si>
  <si>
    <t>Ejecutar Suspensión Servicio en Terreno</t>
  </si>
  <si>
    <t>Ejecutar Reposición Servicio en Terreno</t>
  </si>
  <si>
    <t>Ejecutar Suspensión/Reconexión Servicio en Terreno</t>
  </si>
  <si>
    <t>Tiempo de traslado</t>
  </si>
  <si>
    <t>[hr.]</t>
  </si>
  <si>
    <t>traslado promedio</t>
  </si>
  <si>
    <t>Holgura</t>
  </si>
  <si>
    <t>Costo Suspensión/Reconexión Servicio en Terreno</t>
  </si>
  <si>
    <t>[$/servicio]</t>
  </si>
  <si>
    <t>Duración Llamada Call Center (segundos)</t>
  </si>
  <si>
    <t>Whatsapp</t>
  </si>
  <si>
    <t>Costo Promedio Anual Equivalente Suspensión Reconexión</t>
  </si>
  <si>
    <t>Promedio Anual Equivalente Suspensión Reconexión</t>
  </si>
  <si>
    <t>Nota: Rango del Modelo Fijo CTLP!H2770:H2787 actualizado por TRM del Costo Total de Largo Plazo de Sistemas, la fórmula completa es ='[Modelo-Redes-Fijas-2000-38-3-20.xlsm]CTLP'!$H$2770:$H$2787*F147/1000</t>
  </si>
  <si>
    <t>Nota: Rango del Modelo Fijo CTLP!H2790:H2807 actualizado por TRM del Costo Total de Largo Plazo de Sistemas, la fórmula completa es ='[Modelo-Redes-Fijas-2000-38-3-20.xlsm]CTLP'!$H$2790:$H$2807*F147/1000</t>
  </si>
  <si>
    <t>Total Anualizado</t>
  </si>
  <si>
    <t>Porcentaje de traslados promedio de mercado informado</t>
  </si>
  <si>
    <t>Ver Modelo móvil "=-PAGO(tcc;5;Asignadores!P14)"</t>
  </si>
  <si>
    <t>Ver Modelo Fijo: "=-PAGO(tcc;5;VNA(tcc;Demanda!H26:L26))"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</si>
</sst>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5">
    <numFmt numFmtId="164" formatCode="&quot;$&quot;#,##0.00;[Red]&quot;$&quot;\-#,##0.00"/>
    <numFmt numFmtId="165" formatCode="_-\ &quot;US$&quot;* #,##0_-;[Red]\-&quot;US$&quot;* #,##0_-;_-* &quot;-&quot;??\ &quot;&quot;_-;_-@_-"/>
    <numFmt numFmtId="166" formatCode="#,##0_);[Red]\-#,##0_);0_);@_)"/>
    <numFmt numFmtId="167" formatCode="_-&quot;$&quot;* #,##0_-;[Red]\-&quot;$&quot;* #,##0_-;_-* &quot;-&quot;??\ &quot;&quot;_-;_-@_-"/>
    <numFmt numFmtId="168" formatCode="_-&quot;$&quot;* #,##0.0_-;[Red]\-&quot;$&quot;* #,##0.0_-;_-* &quot;-&quot;??\ &quot;&quot;_-;_-@_-"/>
    <numFmt numFmtId="169" formatCode="#,##0.0_);[Red]\-#,##0.0_);0.0_);@_)"/>
    <numFmt numFmtId="170" formatCode="#,##0.00_);[Red]\-#,##0.00_);0.00_);@_)"/>
    <numFmt numFmtId="171" formatCode="_-&quot;M$&quot;* #,###;[Red]\-&quot;M$&quot;* #,###;_-* &quot;-&quot;??\ &quot;&quot;_-;_-@_-"/>
    <numFmt numFmtId="172" formatCode="#,##0.00%;[Red]\-#,##0.00%;0.00%;@_)"/>
    <numFmt numFmtId="173" formatCode="[$USD]\ #,##0;[Red]\-[$USD]\ #,##0"/>
    <numFmt numFmtId="174" formatCode="#,##0.000_);[Red]\-#,##0.000_);0.000_);@_)"/>
    <numFmt numFmtId="175" formatCode="_-\ &quot;$&quot;* #,##0_-;[Red]\-* #,##0_-;_-* &quot;-&quot;??\ &quot;&quot;_-;_-@_-"/>
    <numFmt numFmtId="176" formatCode="_-\ &quot;$&quot;* #,##0_-;[Red]\-#,##0_-;_-* &quot;-&quot;??\ &quot;&quot;_-;_-@_-"/>
    <numFmt numFmtId="177" formatCode="_-\ &quot;$&quot;* #,##0.0_-;[Red]\-#,##0.0_-;_-* &quot;-&quot;??\ &quot;&quot;_-;_-@_-"/>
    <numFmt numFmtId="178" formatCode="_ [$$-340A]* #,##0.00_ ;_ [$$-340A]* \-#,##0.00_ ;_ [$$-340A]* &quot;-&quot;??_ ;_ @_ "/>
    <numFmt numFmtId="179" formatCode="#,##0%;[Red]\-#,##0%;0%;@_)"/>
    <numFmt numFmtId="180" formatCode="_-\ &quot;$&quot;\ #,##0.00_-;[Red]\-#,##0.00_-;_-* &quot;-&quot;??\ &quot;&quot;_-;_-@_-"/>
    <numFmt numFmtId="181" formatCode="_-* #,##0.00\ _$_-;\-* #,##0.00\ _$_-;_-* &quot;-&quot;??\ _$_-;_-@_-"/>
    <numFmt numFmtId="182" formatCode="_(* #,##0.00_);_(* \(#,##0.00\);_(* &quot;-&quot;??_);_(@_)"/>
    <numFmt numFmtId="183" formatCode="_-&quot;$&quot;\ * #,##0_-;\-&quot;$&quot;\ * #,##0_-;_-&quot;$&quot;\ * &quot;-&quot;_-;_-@_-"/>
    <numFmt numFmtId="184" formatCode="_-\ &quot;Bs&quot;* #,##0_-;[Red]\-&quot;Bs&quot;* #,##0_-;_-* &quot;-&quot;??\ &quot;&quot;_-;_-@_-"/>
    <numFmt numFmtId="185" formatCode="_(* #,##0_);_(* \(#,##0\);_(* &quot;-&quot;_);_(@_)"/>
    <numFmt numFmtId="186" formatCode="_(&quot;$&quot;* #,##0_);_(&quot;$&quot;* \(#,##0\);_(&quot;$&quot;* &quot;-&quot;_);_(@_)"/>
    <numFmt numFmtId="187" formatCode="_-\ &quot;$&quot;* #,##0_-;[Red]\-* #,##0_-;_-* &quot;-&quot;\ ??\ &quot;&quot;_-;_-@_-"/>
    <numFmt numFmtId="188" formatCode="_-\ &quot;M$&quot;* #,##0_-;[Red]\-&quot;M$&quot;* #,##0_-;_-* &quot;-&quot;??\ &quot;&quot;_-;_-@_-"/>
    <numFmt numFmtId="189" formatCode="_-\ &quot;US$&quot;* #,##0.0000_-;[Red]\-&quot;US$&quot;* #,##0.0000_-;_-* &quot;-&quot;??\ &quot;&quot;_-;_-@_-"/>
    <numFmt numFmtId="190" formatCode="#,##0.00\ [$¢-450];[Red]\-#,##0.00\ [$¢-450]"/>
    <numFmt numFmtId="191" formatCode="_-\ &quot;US$&quot;* #,##0.00_-;[Red]\-&quot;US$&quot;* #,##0.00_-;_-* &quot;-&quot;??\ &quot;&quot;_-;_-@_-"/>
    <numFmt numFmtId="192" formatCode="_-\ &quot;Bs&quot;* #,##0.00_-;[Red]\-\ &quot;Bs&quot;* #,##0.00_-;_-* &quot;-&quot;??\ &quot;&quot;_-;_-@_-"/>
    <numFmt numFmtId="193" formatCode="_-&quot;Bs&quot;* #,###;[Red]\-&quot;Bs&quot;* #,###;_-* &quot;-&quot;??\ &quot;&quot;_-;_-@_-"/>
    <numFmt numFmtId="194" formatCode="_-&quot;US$&quot;* #,###;[Red]\-&quot;US$&quot;* #,###;_-* &quot;-&quot;??\ &quot;&quot;_-;_-@_-"/>
    <numFmt numFmtId="195" formatCode="_-[$€-2]\ * #,##0.00_-;\-[$€-2]\ * #,##0.00_-;_-[$€-2]\ * &quot;-&quot;??_-"/>
    <numFmt numFmtId="196" formatCode="[$$-240A]#,##0.00"/>
    <numFmt numFmtId="197" formatCode="0.0%"/>
    <numFmt numFmtId="198" formatCode="[$$-240A]\ #,##0.00"/>
  </numFmts>
  <fonts count="4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22"/>
      <color theme="3"/>
      <name val="Tahoma"/>
      <family val="2"/>
    </font>
    <font>
      <b/>
      <sz val="16"/>
      <color theme="3"/>
      <name val="Tahoma"/>
      <family val="2"/>
    </font>
    <font>
      <sz val="14"/>
      <color theme="3"/>
      <name val="Tahoma"/>
      <family val="2"/>
    </font>
    <font>
      <b/>
      <sz val="16"/>
      <color theme="3" tint="-0.24994659260841701"/>
      <name val="Tahoma"/>
      <family val="2"/>
    </font>
    <font>
      <b/>
      <sz val="10"/>
      <color indexed="15"/>
      <name val="Tahoma"/>
      <family val="2"/>
    </font>
    <font>
      <sz val="10"/>
      <color theme="2"/>
      <name val="Aptos Narrow"/>
      <family val="2"/>
      <scheme val="minor"/>
    </font>
    <font>
      <b/>
      <sz val="10"/>
      <color theme="2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9"/>
      <color theme="4" tint="-0.24994659260841701"/>
      <name val="Aptos Narrow"/>
      <family val="2"/>
      <scheme val="minor"/>
    </font>
    <font>
      <i/>
      <sz val="10"/>
      <color theme="4" tint="-0.2499465926084170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0"/>
      <color theme="4" tint="-0.24994659260841701"/>
      <name val="Aptos Narrow"/>
      <family val="2"/>
      <scheme val="minor"/>
    </font>
    <font>
      <sz val="9"/>
      <name val="Arial"/>
      <family val="2"/>
    </font>
    <font>
      <b/>
      <sz val="11"/>
      <name val="Aptos Narrow"/>
      <family val="2"/>
      <scheme val="minor"/>
    </font>
    <font>
      <i/>
      <sz val="11"/>
      <color theme="0" tint="-0.499984740745262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9"/>
      <name val="Calibri"/>
      <family val="2"/>
    </font>
    <font>
      <i/>
      <sz val="10"/>
      <color theme="6"/>
      <name val="Aptos Narrow"/>
      <family val="2"/>
      <scheme val="minor"/>
    </font>
    <font>
      <sz val="10"/>
      <name val="Arial"/>
      <family val="2"/>
    </font>
    <font>
      <sz val="10"/>
      <color theme="5" tint="-0.499984740745262"/>
      <name val="Aptos Narrow"/>
      <family val="2"/>
      <scheme val="minor"/>
    </font>
    <font>
      <i/>
      <sz val="10"/>
      <color theme="2" tint="-0.499984740745262"/>
      <name val="Aptos Narrow"/>
      <family val="2"/>
      <scheme val="minor"/>
    </font>
    <font>
      <b/>
      <sz val="9"/>
      <name val="Arial"/>
      <family val="2"/>
    </font>
    <font>
      <i/>
      <sz val="10"/>
      <color theme="6" tint="-0.499984740745262"/>
      <name val="Aptos Narrow"/>
      <family val="2"/>
      <scheme val="minor"/>
    </font>
    <font>
      <i/>
      <sz val="9"/>
      <color indexed="16"/>
      <name val="Arial"/>
      <family val="2"/>
    </font>
    <font>
      <sz val="8"/>
      <color indexed="10"/>
      <name val="Arial"/>
      <family val="2"/>
    </font>
    <font>
      <sz val="10"/>
      <name val="Calibri"/>
      <family val="2"/>
    </font>
    <font>
      <sz val="10"/>
      <color theme="2" tint="-0.24994659260841701"/>
      <name val="Aptos Narrow"/>
      <family val="2"/>
      <scheme val="minor"/>
    </font>
    <font>
      <sz val="9"/>
      <color theme="1"/>
      <name val="Segoe UI"/>
      <family val="2"/>
      <charset val="1"/>
    </font>
    <font>
      <sz val="10"/>
      <color theme="2" tint="-9.9948118533890809E-2"/>
      <name val="Aptos Narrow"/>
      <family val="2"/>
      <scheme val="minor"/>
    </font>
    <font>
      <sz val="9"/>
      <name val="Aptos Narrow"/>
      <family val="2"/>
      <scheme val="minor"/>
    </font>
    <font>
      <b/>
      <sz val="14"/>
      <color theme="3"/>
      <name val="Tahoma"/>
      <family val="2"/>
    </font>
    <font>
      <b/>
      <sz val="12"/>
      <color theme="3"/>
      <name val="Tahoma"/>
      <family val="2"/>
    </font>
    <font>
      <b/>
      <sz val="10"/>
      <color theme="3"/>
      <name val="Tahoma"/>
      <family val="2"/>
    </font>
    <font>
      <sz val="10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74996185186315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3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dashed">
        <color theme="3"/>
      </left>
      <right style="dashed">
        <color theme="3"/>
      </right>
      <top style="dashed">
        <color theme="3"/>
      </top>
      <bottom style="dashed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medium">
        <color theme="3"/>
      </top>
      <bottom/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/>
      <right/>
      <top/>
      <bottom style="medium">
        <color theme="3" tint="0.39994506668294322"/>
      </bottom>
      <diagonal/>
    </border>
    <border>
      <left/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79998168889431442"/>
      </bottom>
      <diagonal/>
    </border>
    <border>
      <left/>
      <right/>
      <top style="double">
        <color indexed="64"/>
      </top>
      <bottom/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</borders>
  <cellStyleXfs count="152">
    <xf numFmtId="0" fontId="0" fillId="0" borderId="0"/>
    <xf numFmtId="182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>
      <protection locked="0"/>
    </xf>
    <xf numFmtId="0" fontId="8" fillId="0" borderId="2">
      <protection locked="0"/>
    </xf>
    <xf numFmtId="0" fontId="10" fillId="4" borderId="3">
      <alignment horizontal="center" vertical="center" wrapText="1"/>
    </xf>
    <xf numFmtId="165" fontId="12" fillId="0" borderId="3"/>
    <xf numFmtId="166" fontId="14" fillId="0" borderId="4">
      <alignment horizontal="center"/>
    </xf>
    <xf numFmtId="166" fontId="12" fillId="0" borderId="5"/>
    <xf numFmtId="167" fontId="12" fillId="5" borderId="5"/>
    <xf numFmtId="0" fontId="12" fillId="0" borderId="6"/>
    <xf numFmtId="166" fontId="12" fillId="0" borderId="3"/>
    <xf numFmtId="170" fontId="12" fillId="8" borderId="11">
      <protection locked="0"/>
    </xf>
    <xf numFmtId="166" fontId="12" fillId="8" borderId="11">
      <protection locked="0"/>
    </xf>
    <xf numFmtId="171" fontId="12" fillId="5" borderId="5"/>
    <xf numFmtId="172" fontId="12" fillId="9" borderId="5">
      <protection locked="0"/>
    </xf>
    <xf numFmtId="173" fontId="1" fillId="0" borderId="0"/>
    <xf numFmtId="166" fontId="12" fillId="0" borderId="4"/>
    <xf numFmtId="0" fontId="17" fillId="0" borderId="0"/>
    <xf numFmtId="166" fontId="12" fillId="10" borderId="3"/>
    <xf numFmtId="0" fontId="18" fillId="0" borderId="0"/>
    <xf numFmtId="166" fontId="12" fillId="9" borderId="5">
      <protection locked="0"/>
    </xf>
    <xf numFmtId="172" fontId="12" fillId="0" borderId="3"/>
    <xf numFmtId="0" fontId="11" fillId="4" borderId="3">
      <alignment horizontal="center" vertical="center" wrapText="1"/>
    </xf>
    <xf numFmtId="166" fontId="14" fillId="0" borderId="4"/>
    <xf numFmtId="175" fontId="12" fillId="10" borderId="3"/>
    <xf numFmtId="176" fontId="12" fillId="9" borderId="5">
      <protection locked="0"/>
    </xf>
    <xf numFmtId="172" fontId="12" fillId="10" borderId="3"/>
    <xf numFmtId="0" fontId="11" fillId="4" borderId="3">
      <alignment horizontal="center" vertical="center" wrapText="1"/>
    </xf>
    <xf numFmtId="170" fontId="12" fillId="9" borderId="5">
      <protection locked="0"/>
    </xf>
    <xf numFmtId="0" fontId="23" fillId="0" borderId="0">
      <alignment horizontal="right"/>
      <protection locked="0"/>
    </xf>
    <xf numFmtId="173" fontId="1" fillId="3" borderId="0" applyNumberFormat="0" applyBorder="0" applyAlignment="0" applyProtection="0"/>
    <xf numFmtId="176" fontId="12" fillId="0" borderId="4"/>
    <xf numFmtId="179" fontId="12" fillId="0" borderId="4"/>
    <xf numFmtId="170" fontId="12" fillId="0" borderId="4"/>
    <xf numFmtId="180" fontId="12" fillId="0" borderId="4"/>
    <xf numFmtId="172" fontId="12" fillId="0" borderId="4"/>
    <xf numFmtId="17" fontId="12" fillId="0" borderId="4"/>
    <xf numFmtId="165" fontId="12" fillId="0" borderId="4"/>
    <xf numFmtId="166" fontId="24" fillId="0" borderId="0"/>
    <xf numFmtId="170" fontId="24" fillId="0" borderId="0"/>
    <xf numFmtId="181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3" fontId="1" fillId="0" borderId="0" applyFont="0" applyFill="0" applyBorder="0" applyAlignment="0" applyProtection="0"/>
    <xf numFmtId="166" fontId="12" fillId="13" borderId="0"/>
    <xf numFmtId="184" fontId="12" fillId="9" borderId="5">
      <protection locked="0"/>
    </xf>
    <xf numFmtId="165" fontId="12" fillId="9" borderId="5">
      <protection locked="0"/>
    </xf>
    <xf numFmtId="179" fontId="12" fillId="9" borderId="5">
      <protection locked="0"/>
    </xf>
    <xf numFmtId="17" fontId="12" fillId="9" borderId="5">
      <protection locked="0"/>
    </xf>
    <xf numFmtId="165" fontId="12" fillId="9" borderId="5">
      <protection locked="0"/>
    </xf>
    <xf numFmtId="166" fontId="12" fillId="14" borderId="5">
      <protection locked="0"/>
    </xf>
    <xf numFmtId="170" fontId="26" fillId="14" borderId="5">
      <protection locked="0"/>
    </xf>
    <xf numFmtId="49" fontId="12" fillId="9" borderId="5">
      <protection locked="0"/>
    </xf>
    <xf numFmtId="173" fontId="4" fillId="2" borderId="0" applyNumberFormat="0" applyBorder="0" applyAlignment="0" applyProtection="0"/>
    <xf numFmtId="0" fontId="27" fillId="0" borderId="0"/>
    <xf numFmtId="0" fontId="28" fillId="0" borderId="0" applyNumberFormat="0" applyFill="0" applyBorder="0" applyAlignment="0" applyProtection="0">
      <alignment vertical="center"/>
    </xf>
    <xf numFmtId="0" fontId="14" fillId="0" borderId="0"/>
    <xf numFmtId="0" fontId="18" fillId="0" borderId="12" applyNumberFormat="0" applyAlignment="0">
      <alignment vertical="center"/>
      <protection locked="0"/>
    </xf>
    <xf numFmtId="0" fontId="18" fillId="15" borderId="0" applyNumberFormat="0" applyAlignment="0">
      <alignment vertical="center"/>
    </xf>
    <xf numFmtId="0" fontId="29" fillId="0" borderId="6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0" fontId="30" fillId="0" borderId="0" applyNumberFormat="0" applyAlignment="0">
      <alignment vertical="center"/>
    </xf>
    <xf numFmtId="0" fontId="29" fillId="0" borderId="0"/>
    <xf numFmtId="0" fontId="31" fillId="0" borderId="0" applyNumberFormat="0" applyFill="0" applyBorder="0" applyAlignment="0" applyProtection="0">
      <alignment vertical="center"/>
    </xf>
    <xf numFmtId="166" fontId="32" fillId="0" borderId="0"/>
    <xf numFmtId="175" fontId="32" fillId="0" borderId="0">
      <alignment vertical="center"/>
    </xf>
    <xf numFmtId="179" fontId="32" fillId="0" borderId="0"/>
    <xf numFmtId="170" fontId="32" fillId="0" borderId="0"/>
    <xf numFmtId="187" fontId="32" fillId="0" borderId="0">
      <alignment vertical="center"/>
    </xf>
    <xf numFmtId="172" fontId="32" fillId="0" borderId="0"/>
    <xf numFmtId="17" fontId="32" fillId="0" borderId="0"/>
    <xf numFmtId="175" fontId="12" fillId="0" borderId="3"/>
    <xf numFmtId="184" fontId="12" fillId="0" borderId="3"/>
    <xf numFmtId="179" fontId="12" fillId="0" borderId="3"/>
    <xf numFmtId="170" fontId="12" fillId="0" borderId="3"/>
    <xf numFmtId="17" fontId="12" fillId="0" borderId="3"/>
    <xf numFmtId="188" fontId="12" fillId="0" borderId="3"/>
    <xf numFmtId="165" fontId="12" fillId="0" borderId="3"/>
    <xf numFmtId="189" fontId="12" fillId="0" borderId="3"/>
    <xf numFmtId="190" fontId="12" fillId="0" borderId="3"/>
    <xf numFmtId="165" fontId="32" fillId="0" borderId="0">
      <alignment vertical="center"/>
    </xf>
    <xf numFmtId="166" fontId="18" fillId="0" borderId="0" applyFont="0" applyFill="0" applyBorder="0" applyAlignment="0" applyProtection="0">
      <alignment vertical="center"/>
    </xf>
    <xf numFmtId="165" fontId="12" fillId="10" borderId="3"/>
    <xf numFmtId="191" fontId="12" fillId="10" borderId="3"/>
    <xf numFmtId="189" fontId="12" fillId="10" borderId="3"/>
    <xf numFmtId="184" fontId="12" fillId="10" borderId="3"/>
    <xf numFmtId="179" fontId="12" fillId="10" borderId="3"/>
    <xf numFmtId="170" fontId="12" fillId="10" borderId="3"/>
    <xf numFmtId="17" fontId="12" fillId="10" borderId="3"/>
    <xf numFmtId="166" fontId="33" fillId="10" borderId="3"/>
    <xf numFmtId="175" fontId="12" fillId="8" borderId="11">
      <protection locked="0"/>
    </xf>
    <xf numFmtId="179" fontId="12" fillId="8" borderId="11">
      <protection locked="0"/>
    </xf>
    <xf numFmtId="180" fontId="12" fillId="8" borderId="11">
      <protection locked="0"/>
    </xf>
    <xf numFmtId="192" fontId="12" fillId="8" borderId="11">
      <protection locked="0"/>
    </xf>
    <xf numFmtId="191" fontId="12" fillId="8" borderId="11">
      <protection locked="0"/>
    </xf>
    <xf numFmtId="172" fontId="12" fillId="8" borderId="11">
      <protection locked="0"/>
    </xf>
    <xf numFmtId="17" fontId="12" fillId="8" borderId="11">
      <protection locked="0"/>
    </xf>
    <xf numFmtId="166" fontId="12" fillId="16" borderId="11">
      <protection locked="0"/>
    </xf>
    <xf numFmtId="165" fontId="12" fillId="8" borderId="11">
      <protection locked="0"/>
    </xf>
    <xf numFmtId="191" fontId="12" fillId="17" borderId="5">
      <protection locked="0"/>
    </xf>
    <xf numFmtId="191" fontId="12" fillId="8" borderId="11">
      <protection locked="0"/>
    </xf>
    <xf numFmtId="9" fontId="25" fillId="0" borderId="0" applyFont="0" applyFill="0" applyBorder="0" applyAlignment="0" applyProtection="0"/>
    <xf numFmtId="9" fontId="34" fillId="0" borderId="0" applyFont="0" applyFill="0" applyBorder="0" applyAlignment="0" applyProtection="0"/>
    <xf numFmtId="190" fontId="12" fillId="5" borderId="5"/>
    <xf numFmtId="166" fontId="12" fillId="5" borderId="5"/>
    <xf numFmtId="193" fontId="12" fillId="5" borderId="5"/>
    <xf numFmtId="194" fontId="12" fillId="5" borderId="5"/>
    <xf numFmtId="179" fontId="12" fillId="5" borderId="5"/>
    <xf numFmtId="168" fontId="12" fillId="5" borderId="5"/>
    <xf numFmtId="170" fontId="12" fillId="5" borderId="5"/>
    <xf numFmtId="180" fontId="12" fillId="5" borderId="5"/>
    <xf numFmtId="172" fontId="12" fillId="5" borderId="5"/>
    <xf numFmtId="17" fontId="12" fillId="5" borderId="5"/>
    <xf numFmtId="165" fontId="12" fillId="5" borderId="5"/>
    <xf numFmtId="165" fontId="12" fillId="5" borderId="5"/>
    <xf numFmtId="189" fontId="12" fillId="5" borderId="5"/>
    <xf numFmtId="170" fontId="12" fillId="0" borderId="5"/>
    <xf numFmtId="166" fontId="14" fillId="0" borderId="4"/>
    <xf numFmtId="195" fontId="10" fillId="4" borderId="3">
      <alignment horizontal="center" vertical="center" wrapText="1"/>
    </xf>
    <xf numFmtId="0" fontId="11" fillId="4" borderId="3">
      <alignment horizontal="left" vertical="center"/>
    </xf>
    <xf numFmtId="166" fontId="12" fillId="0" borderId="5"/>
    <xf numFmtId="0" fontId="12" fillId="0" borderId="5"/>
    <xf numFmtId="166" fontId="35" fillId="0" borderId="5"/>
    <xf numFmtId="0" fontId="10" fillId="18" borderId="3">
      <alignment horizontal="center" vertical="center" wrapText="1"/>
    </xf>
    <xf numFmtId="0" fontId="12" fillId="5" borderId="0">
      <alignment horizontal="left"/>
      <protection locked="0"/>
    </xf>
    <xf numFmtId="0" fontId="13" fillId="5" borderId="0">
      <alignment horizontal="left"/>
      <protection locked="0"/>
    </xf>
    <xf numFmtId="0" fontId="32" fillId="0" borderId="0">
      <protection locked="0"/>
    </xf>
    <xf numFmtId="0" fontId="36" fillId="0" borderId="0">
      <protection locked="0"/>
    </xf>
    <xf numFmtId="173" fontId="2" fillId="0" borderId="1" applyNumberFormat="0" applyFill="0" applyAlignment="0" applyProtection="0"/>
    <xf numFmtId="0" fontId="37" fillId="0" borderId="13">
      <protection locked="0"/>
    </xf>
    <xf numFmtId="0" fontId="38" fillId="0" borderId="14">
      <protection locked="0"/>
    </xf>
    <xf numFmtId="0" fontId="39" fillId="0" borderId="15">
      <protection locked="0"/>
    </xf>
    <xf numFmtId="0" fontId="40" fillId="0" borderId="16" applyNumberFormat="0" applyFont="0" applyFill="0" applyAlignment="0" applyProtection="0"/>
    <xf numFmtId="166" fontId="10" fillId="4" borderId="17">
      <alignment wrapText="1"/>
    </xf>
    <xf numFmtId="175" fontId="10" fillId="4" borderId="17">
      <alignment wrapText="1"/>
    </xf>
    <xf numFmtId="184" fontId="10" fillId="4" borderId="17">
      <alignment wrapText="1"/>
    </xf>
    <xf numFmtId="165" fontId="10" fillId="4" borderId="17">
      <alignment wrapText="1"/>
    </xf>
    <xf numFmtId="189" fontId="10" fillId="4" borderId="17">
      <alignment wrapText="1"/>
    </xf>
    <xf numFmtId="188" fontId="12" fillId="10" borderId="3"/>
    <xf numFmtId="0" fontId="18" fillId="0" borderId="0">
      <alignment vertical="center"/>
    </xf>
  </cellStyleXfs>
  <cellXfs count="76">
    <xf numFmtId="0" fontId="0" fillId="0" borderId="0" xfId="0"/>
    <xf numFmtId="0" fontId="6" fillId="0" borderId="0" xfId="5" applyFont="1" applyProtection="1"/>
    <xf numFmtId="0" fontId="7" fillId="0" borderId="0" xfId="5" applyFont="1">
      <protection locked="0"/>
    </xf>
    <xf numFmtId="0" fontId="8" fillId="0" borderId="2" xfId="6">
      <protection locked="0"/>
    </xf>
    <xf numFmtId="0" fontId="9" fillId="0" borderId="2" xfId="6" applyFont="1">
      <protection locked="0"/>
    </xf>
    <xf numFmtId="0" fontId="11" fillId="4" borderId="3" xfId="7" applyFont="1">
      <alignment horizontal="center" vertical="center" wrapText="1"/>
    </xf>
    <xf numFmtId="0" fontId="11" fillId="4" borderId="3" xfId="7" applyFont="1" applyAlignment="1">
      <alignment horizontal="center" vertical="center"/>
    </xf>
    <xf numFmtId="0" fontId="13" fillId="0" borderId="0" xfId="8" applyNumberFormat="1" applyFont="1" applyBorder="1" applyAlignment="1">
      <alignment horizontal="right"/>
    </xf>
    <xf numFmtId="166" fontId="15" fillId="0" borderId="4" xfId="9" applyFont="1">
      <alignment horizontal="center"/>
    </xf>
    <xf numFmtId="166" fontId="12" fillId="0" borderId="5" xfId="10"/>
    <xf numFmtId="0" fontId="12" fillId="0" borderId="0" xfId="8" applyNumberFormat="1" applyBorder="1" applyAlignment="1">
      <alignment horizontal="right"/>
    </xf>
    <xf numFmtId="168" fontId="13" fillId="5" borderId="5" xfId="11" applyNumberFormat="1" applyFont="1"/>
    <xf numFmtId="0" fontId="12" fillId="0" borderId="6" xfId="12"/>
    <xf numFmtId="0" fontId="11" fillId="4" borderId="7" xfId="7" applyFont="1" applyBorder="1" applyAlignment="1">
      <alignment horizontal="center" vertical="center"/>
    </xf>
    <xf numFmtId="0" fontId="11" fillId="4" borderId="8" xfId="7" applyFont="1" applyBorder="1" applyAlignment="1">
      <alignment horizontal="center" vertical="center"/>
    </xf>
    <xf numFmtId="166" fontId="12" fillId="6" borderId="5" xfId="10" applyFill="1"/>
    <xf numFmtId="169" fontId="12" fillId="0" borderId="3" xfId="13" applyNumberFormat="1"/>
    <xf numFmtId="166" fontId="12" fillId="7" borderId="9" xfId="10" applyFill="1" applyBorder="1"/>
    <xf numFmtId="166" fontId="12" fillId="0" borderId="10" xfId="10" applyBorder="1"/>
    <xf numFmtId="166" fontId="12" fillId="0" borderId="9" xfId="10" applyBorder="1"/>
    <xf numFmtId="0" fontId="16" fillId="0" borderId="0" xfId="0" applyFont="1"/>
    <xf numFmtId="166" fontId="12" fillId="7" borderId="5" xfId="10" applyFill="1"/>
    <xf numFmtId="170" fontId="12" fillId="7" borderId="5" xfId="10" applyNumberFormat="1" applyFill="1"/>
    <xf numFmtId="166" fontId="12" fillId="8" borderId="11" xfId="15">
      <protection locked="0"/>
    </xf>
    <xf numFmtId="171" fontId="12" fillId="7" borderId="5" xfId="16" applyFill="1"/>
    <xf numFmtId="172" fontId="12" fillId="9" borderId="5" xfId="17">
      <protection locked="0"/>
    </xf>
    <xf numFmtId="173" fontId="0" fillId="0" borderId="0" xfId="18" applyFont="1"/>
    <xf numFmtId="166" fontId="12" fillId="0" borderId="4" xfId="19"/>
    <xf numFmtId="0" fontId="17" fillId="0" borderId="0" xfId="20"/>
    <xf numFmtId="166" fontId="12" fillId="10" borderId="3" xfId="21"/>
    <xf numFmtId="0" fontId="3" fillId="0" borderId="0" xfId="0" applyFont="1"/>
    <xf numFmtId="0" fontId="11" fillId="4" borderId="3" xfId="7" applyFont="1" applyAlignment="1">
      <alignment horizontal="left" vertical="center"/>
    </xf>
    <xf numFmtId="0" fontId="19" fillId="0" borderId="0" xfId="22" applyFont="1"/>
    <xf numFmtId="166" fontId="12" fillId="9" borderId="5" xfId="23">
      <protection locked="0"/>
    </xf>
    <xf numFmtId="0" fontId="20" fillId="0" borderId="0" xfId="22" applyFont="1"/>
    <xf numFmtId="170" fontId="12" fillId="9" borderId="5" xfId="23" applyNumberFormat="1">
      <protection locked="0"/>
    </xf>
    <xf numFmtId="174" fontId="12" fillId="9" borderId="5" xfId="23" applyNumberFormat="1">
      <protection locked="0"/>
    </xf>
    <xf numFmtId="166" fontId="12" fillId="11" borderId="5" xfId="10" applyFill="1"/>
    <xf numFmtId="169" fontId="12" fillId="7" borderId="5" xfId="23" applyNumberFormat="1" applyFill="1" applyProtection="1"/>
    <xf numFmtId="169" fontId="12" fillId="9" borderId="5" xfId="23" applyNumberFormat="1">
      <protection locked="0"/>
    </xf>
    <xf numFmtId="172" fontId="12" fillId="0" borderId="3" xfId="24"/>
    <xf numFmtId="0" fontId="11" fillId="4" borderId="3" xfId="25">
      <alignment horizontal="center" vertical="center" wrapText="1"/>
    </xf>
    <xf numFmtId="0" fontId="11" fillId="4" borderId="0" xfId="25" applyBorder="1">
      <alignment horizontal="center" vertical="center" wrapText="1"/>
    </xf>
    <xf numFmtId="166" fontId="15" fillId="0" borderId="4" xfId="26" applyFont="1"/>
    <xf numFmtId="0" fontId="21" fillId="0" borderId="0" xfId="0" applyFont="1" applyAlignment="1">
      <alignment horizontal="right"/>
    </xf>
    <xf numFmtId="175" fontId="12" fillId="10" borderId="3" xfId="27"/>
    <xf numFmtId="177" fontId="12" fillId="9" borderId="5" xfId="28" applyNumberFormat="1">
      <protection locked="0"/>
    </xf>
    <xf numFmtId="169" fontId="12" fillId="7" borderId="9" xfId="10" applyNumberFormat="1" applyFill="1" applyBorder="1"/>
    <xf numFmtId="169" fontId="12" fillId="7" borderId="5" xfId="10" applyNumberFormat="1" applyFill="1"/>
    <xf numFmtId="173" fontId="22" fillId="0" borderId="0" xfId="18" applyFont="1"/>
    <xf numFmtId="170" fontId="12" fillId="10" borderId="3" xfId="21" applyNumberFormat="1"/>
    <xf numFmtId="172" fontId="12" fillId="10" borderId="3" xfId="29"/>
    <xf numFmtId="170" fontId="12" fillId="0" borderId="4" xfId="19" applyNumberFormat="1"/>
    <xf numFmtId="178" fontId="12" fillId="12" borderId="5" xfId="10" applyNumberFormat="1" applyFill="1"/>
    <xf numFmtId="9" fontId="12" fillId="6" borderId="5" xfId="4" applyFont="1" applyFill="1" applyBorder="1"/>
    <xf numFmtId="166" fontId="12" fillId="12" borderId="5" xfId="10" applyFill="1"/>
    <xf numFmtId="0" fontId="11" fillId="4" borderId="3" xfId="30">
      <alignment horizontal="center" vertical="center" wrapText="1"/>
    </xf>
    <xf numFmtId="170" fontId="12" fillId="9" borderId="5" xfId="31">
      <protection locked="0"/>
    </xf>
    <xf numFmtId="166" fontId="12" fillId="19" borderId="11" xfId="15" applyFill="1">
      <protection locked="0"/>
    </xf>
    <xf numFmtId="188" fontId="12" fillId="10" borderId="3" xfId="150"/>
    <xf numFmtId="0" fontId="0" fillId="0" borderId="0" xfId="151" applyFont="1" applyAlignment="1"/>
    <xf numFmtId="172" fontId="12" fillId="8" borderId="11" xfId="107">
      <protection locked="0"/>
    </xf>
    <xf numFmtId="169" fontId="12" fillId="10" borderId="3" xfId="21" applyNumberFormat="1"/>
    <xf numFmtId="0" fontId="22" fillId="0" borderId="0" xfId="151" applyFont="1" applyAlignment="1"/>
    <xf numFmtId="175" fontId="12" fillId="0" borderId="3" xfId="83"/>
    <xf numFmtId="9" fontId="0" fillId="0" borderId="0" xfId="0" applyNumberFormat="1"/>
    <xf numFmtId="196" fontId="12" fillId="8" borderId="11" xfId="4" applyNumberFormat="1" applyFont="1" applyFill="1" applyBorder="1" applyProtection="1">
      <protection locked="0"/>
    </xf>
    <xf numFmtId="0" fontId="31" fillId="0" borderId="0" xfId="75" applyAlignment="1"/>
    <xf numFmtId="164" fontId="0" fillId="0" borderId="0" xfId="0" applyNumberFormat="1"/>
    <xf numFmtId="166" fontId="12" fillId="20" borderId="5" xfId="10" applyFill="1"/>
    <xf numFmtId="10" fontId="12" fillId="9" borderId="5" xfId="4" applyNumberFormat="1" applyFont="1" applyFill="1" applyBorder="1" applyProtection="1">
      <protection locked="0"/>
    </xf>
    <xf numFmtId="1" fontId="0" fillId="0" borderId="0" xfId="0" applyNumberFormat="1"/>
    <xf numFmtId="172" fontId="12" fillId="7" borderId="5" xfId="17" applyFill="1">
      <protection locked="0"/>
    </xf>
    <xf numFmtId="171" fontId="12" fillId="10" borderId="5" xfId="16" applyFill="1"/>
    <xf numFmtId="197" fontId="12" fillId="10" borderId="5" xfId="4" applyNumberFormat="1" applyFont="1" applyFill="1" applyBorder="1" applyAlignment="1">
      <alignment horizontal="center"/>
    </xf>
    <xf numFmtId="198" fontId="17" fillId="0" borderId="0" xfId="20" applyNumberFormat="1"/>
  </cellXfs>
  <cellStyles count="152">
    <cellStyle name="%" xfId="22" xr:uid="{EF052D64-2133-43F1-99C1-573743400349}"/>
    <cellStyle name="[Unidad]" xfId="32" xr:uid="{512E21B4-5706-49C0-901D-E3DA61521E34}"/>
    <cellStyle name="20% - Énfasis1 2" xfId="33" xr:uid="{EAAF239B-35E9-4670-BFF4-3EBDBCA7F1A1}"/>
    <cellStyle name="Calc Ent" xfId="19" xr:uid="{B4F7ACF6-772F-4AF2-99E6-D6D174FB7DF0}"/>
    <cellStyle name="Calc Ent $" xfId="34" xr:uid="{293C1BD1-5710-4B14-97D5-C619DCB950ED}"/>
    <cellStyle name="Calc Ent %" xfId="35" xr:uid="{58816056-9A97-43F0-8848-5A4551D4019C}"/>
    <cellStyle name="Calc Ent 2" xfId="36" xr:uid="{FB7B2E3C-5B1B-481E-86EF-7043DFA504F9}"/>
    <cellStyle name="Calc Ent 2 $" xfId="37" xr:uid="{775DDFA8-91EA-401F-917B-9957A3604090}"/>
    <cellStyle name="Calc Ent 2 %" xfId="38" xr:uid="{65704A24-FF94-43DB-906B-E5C90E5E6ADE}"/>
    <cellStyle name="Calc Ent Fecha" xfId="39" xr:uid="{C4B7A7C6-4FD5-446D-BA84-A50A36C750AD}"/>
    <cellStyle name="Calc Ent US$" xfId="40" xr:uid="{F315BD93-8453-4D65-BFC2-1C917F090BB2}"/>
    <cellStyle name="Chequeo" xfId="41" xr:uid="{ADC04EC0-46C0-4EDA-8C5D-A54357FFB93F}"/>
    <cellStyle name="Chequeo 2" xfId="42" xr:uid="{F10158A0-C201-46EA-A706-A18BB1D92167}"/>
    <cellStyle name="Comma 2" xfId="43" xr:uid="{C4EA240F-88BE-4781-8BB9-005EE8ECEE0B}"/>
    <cellStyle name="Comma 3" xfId="44" xr:uid="{22120208-47BD-4F8F-A19C-46B1CD9D046D}"/>
    <cellStyle name="Comma 3 2" xfId="45" xr:uid="{C96F0A5D-23A6-43CE-9EC7-608B7226FFC2}"/>
    <cellStyle name="Currency [0] 2" xfId="46" xr:uid="{B33FFAF2-FE12-46EB-A61E-F033528E9383}"/>
    <cellStyle name="Destacado" xfId="47" xr:uid="{558E2F82-6AC5-4C0B-99A9-0EF36468BA20}"/>
    <cellStyle name="Dt Ent" xfId="23" xr:uid="{9C65915D-BF78-40A2-92E1-D68CB7E7D5E3}"/>
    <cellStyle name="Dt Ent $" xfId="28" xr:uid="{890697C5-B931-41C5-933A-F65A6A9FA576}"/>
    <cellStyle name="Dt Ent $Bs" xfId="48" xr:uid="{E4FF9921-582F-45F8-AC50-2D333F99B7D2}"/>
    <cellStyle name="Dt Ent $US" xfId="49" xr:uid="{1B177F75-24DC-4C8A-A083-0880EBF874B6}"/>
    <cellStyle name="Dt Ent %" xfId="50" xr:uid="{2C51DAD7-3648-45C7-B851-8182646528CB}"/>
    <cellStyle name="Dt Ent 2" xfId="31" xr:uid="{C06B15DF-8FC2-4552-BE37-7BA50F3389BE}"/>
    <cellStyle name="Dt Ent 2 %" xfId="17" xr:uid="{F645D91E-422E-4EE2-B3B7-6A645E5B4913}"/>
    <cellStyle name="Dt Ent Fecha" xfId="51" xr:uid="{6746EC70-1F08-43C4-BC9D-4CDB537D2A28}"/>
    <cellStyle name="Dt Ent US$" xfId="52" xr:uid="{64EFDC6F-BD74-40FD-A2C4-6D081EA7F0FD}"/>
    <cellStyle name="Dt Est Ent" xfId="53" xr:uid="{6EAE4321-AA48-4611-A690-E5FD64CED7F9}"/>
    <cellStyle name="Dt Est Ent 2" xfId="54" xr:uid="{FE57A6D0-F19C-47AA-8723-51BF32DF6B87}"/>
    <cellStyle name="Dt Texto" xfId="55" xr:uid="{9AAB610E-0C02-42B3-8151-6D773C5ACAA0}"/>
    <cellStyle name="Énfasis1 2" xfId="56" xr:uid="{52E0A645-FD09-4434-8104-EA36B286E810}"/>
    <cellStyle name="Fuente" xfId="57" xr:uid="{4B2D4259-EF13-4867-B270-E7193A87FC4C}"/>
    <cellStyle name="H4" xfId="58" xr:uid="{5802F91A-CFC9-4144-820A-EFFB7E522838}"/>
    <cellStyle name="ID" xfId="59" xr:uid="{027DBAE2-9901-45D3-8148-C52F5FE37E32}"/>
    <cellStyle name="Input data" xfId="60" xr:uid="{E2CFFC97-5F11-4A19-9504-979748008B8B}"/>
    <cellStyle name="Input link" xfId="61" xr:uid="{F14CE533-2696-4F7F-A72A-17612A9A8D76}"/>
    <cellStyle name="Linea Fin" xfId="12" xr:uid="{781BF3C7-DB29-4F81-8716-643E0D9FC62C}"/>
    <cellStyle name="Linea Fin 2" xfId="62" xr:uid="{C498AB3E-1F9C-4147-BC68-5C81C80EB8BD}"/>
    <cellStyle name="Millares" xfId="1" builtinId="3" customBuiltin="1"/>
    <cellStyle name="Millares [0]" xfId="2" builtinId="6" customBuiltin="1"/>
    <cellStyle name="Millares [0] 2" xfId="63" xr:uid="{ECB37F82-43C0-4955-80F2-3F00B63612FD}"/>
    <cellStyle name="Millares [0] 2 2" xfId="64" xr:uid="{E3ACEA72-F32A-461F-B5FC-64F9453D4CDB}"/>
    <cellStyle name="Millares [0] 3" xfId="65" xr:uid="{2C5B3522-08F3-4276-8CD3-DEB78D69698C}"/>
    <cellStyle name="Millares [0] 3 2" xfId="66" xr:uid="{2291CA8A-FD21-4BC6-A6DB-AB9B54CE1B90}"/>
    <cellStyle name="Millares [0] 4" xfId="67" xr:uid="{669E343D-9DE1-4E78-B769-506567F7AB01}"/>
    <cellStyle name="Millares 2" xfId="68" xr:uid="{C752AF90-3B9C-4475-A702-76F4DB0B4288}"/>
    <cellStyle name="Millares 2 2" xfId="69" xr:uid="{62FE1245-419A-4FCF-B9DD-AC5819D347B0}"/>
    <cellStyle name="Millares 3" xfId="70" xr:uid="{8C473296-7865-490A-BC86-5CF750540E32}"/>
    <cellStyle name="Millares 4" xfId="71" xr:uid="{98A5367F-BAD1-4739-984C-FEBF7467FFA5}"/>
    <cellStyle name="Moneda [0]" xfId="3" builtinId="7" customBuiltin="1"/>
    <cellStyle name="Moneda [0] 2" xfId="72" xr:uid="{D9B41884-B0B5-4240-A30B-D49801520433}"/>
    <cellStyle name="Name" xfId="73" xr:uid="{BB396A8A-B7E6-4C96-BB56-D82D028B84BE}"/>
    <cellStyle name="Nombre" xfId="74" xr:uid="{09F8FA80-BF5C-45C1-B2EC-8299BF9BAC78}"/>
    <cellStyle name="Normal" xfId="0" builtinId="0"/>
    <cellStyle name="Normal 2" xfId="18" xr:uid="{27B50DA5-7DFC-41A6-A656-5774BD48FD7A}"/>
    <cellStyle name="Normal 2 2" xfId="151" xr:uid="{4C1F982E-F1C1-49D3-8DBC-8B9E9269CC1B}"/>
    <cellStyle name="Nota" xfId="20" xr:uid="{622BDA4B-A9F5-45F3-816B-C46E9D96C76F}"/>
    <cellStyle name="Note 2" xfId="75" xr:uid="{346E0646-6693-40C3-83E0-6219108EE9E6}"/>
    <cellStyle name="Num" xfId="76" xr:uid="{6674F82A-24E9-4395-AC13-E877BA0B4C89}"/>
    <cellStyle name="Num $" xfId="77" xr:uid="{B4A8A104-0DCC-4D48-8547-57B96C9DAB63}"/>
    <cellStyle name="Num %" xfId="78" xr:uid="{9C86C926-4DF6-48F1-B338-3A55E34F8AD4}"/>
    <cellStyle name="Num 2" xfId="79" xr:uid="{85883FB3-B467-40D5-9096-1430078AC7A7}"/>
    <cellStyle name="Num 2 $" xfId="80" xr:uid="{0414769E-24DE-4F6C-9AFE-24673156274E}"/>
    <cellStyle name="Num 2 %" xfId="81" xr:uid="{666B6B05-C5DF-4678-A697-5FCC7B2123E1}"/>
    <cellStyle name="Num Fecha" xfId="82" xr:uid="{B3E2F582-4424-4239-A11D-01BB7161773E}"/>
    <cellStyle name="Num Tabla" xfId="13" xr:uid="{7FCA7153-97C7-4D5F-B6B4-98BCA26B36F2}"/>
    <cellStyle name="Num Tabla $" xfId="83" xr:uid="{BA48D7F5-9122-4978-B9ED-430DCDF0A3CB}"/>
    <cellStyle name="Num Tabla $Bs" xfId="84" xr:uid="{73EFBBDE-4299-45D4-880E-FB30A9969ACB}"/>
    <cellStyle name="Num Tabla $US" xfId="8" xr:uid="{D145DAAF-6389-4962-95DC-14D734830D0D}"/>
    <cellStyle name="Num Tabla %" xfId="85" xr:uid="{378ACCA8-2A9D-4161-AF89-76C7E819595A}"/>
    <cellStyle name="Num Tabla 2" xfId="86" xr:uid="{B5FF4EEC-BE1D-4D6A-97F2-C000E767F18F}"/>
    <cellStyle name="Num Tabla 2 %" xfId="24" xr:uid="{3DB502C9-F1CB-4A34-8274-859D173DB6DE}"/>
    <cellStyle name="Num Tabla Fecha" xfId="87" xr:uid="{1CEC4412-5FBC-4BF6-95B5-C79C7693586E}"/>
    <cellStyle name="Num Tabla M$" xfId="88" xr:uid="{B8546A8D-5F90-46DE-941C-6720B96E8A1C}"/>
    <cellStyle name="Num Tabla US$" xfId="89" xr:uid="{E0578C64-86CB-47B1-842D-44C72B8547CC}"/>
    <cellStyle name="Num Tabla US$4" xfId="90" xr:uid="{D080F7F3-1C1E-4B7D-AC63-50088C9D703C}"/>
    <cellStyle name="Num Tabla USc$" xfId="91" xr:uid="{34F65981-BEB8-47F4-BDD7-C6219D821F2B}"/>
    <cellStyle name="Num US$" xfId="92" xr:uid="{6ABA1570-F136-4FAB-8B97-4C7674D97614}"/>
    <cellStyle name="Number" xfId="93" xr:uid="{DD6A1DEA-5C7C-4164-BA8E-F8100A4633F2}"/>
    <cellStyle name="NumT Enl US$" xfId="94" xr:uid="{4532EE15-8D03-4E48-88AF-B0C87BD912AF}"/>
    <cellStyle name="NumT Enl US$2" xfId="95" xr:uid="{D4C6E865-65EE-46AD-B607-2A24AE5AF005}"/>
    <cellStyle name="NumT Enl US$4" xfId="96" xr:uid="{92D6E12D-742F-44D2-8291-388A33A3B1EB}"/>
    <cellStyle name="NumT Enla $Bs" xfId="97" xr:uid="{2A912B42-4E05-4A3D-8DFF-D9FF677027FC}"/>
    <cellStyle name="NumT Enla $M" xfId="150" xr:uid="{0E1F78B8-4730-49FE-866F-EFB963A2A4CF}"/>
    <cellStyle name="NumT Enlace" xfId="21" xr:uid="{37B4A207-3BD5-4A6D-AAB4-EABD6B64E68C}"/>
    <cellStyle name="NumT Enlace $" xfId="27" xr:uid="{2EA2F0AA-103B-42B0-AF50-E062BB5735F9}"/>
    <cellStyle name="NumT Enlace %" xfId="98" xr:uid="{08186481-7D5D-4874-B77D-D33283103524}"/>
    <cellStyle name="NumT Enlace 2" xfId="99" xr:uid="{3B54D202-EEB3-4623-B341-F8247A67096D}"/>
    <cellStyle name="NumT Enlace 2 %" xfId="29" xr:uid="{0C54E531-1D12-45D1-B4F1-3A1C3E776EC5}"/>
    <cellStyle name="NumT Enlace Fecha" xfId="100" xr:uid="{1043C43A-18B7-4FA5-9FEF-F130F01DE2BC}"/>
    <cellStyle name="NumT Enlace Gris" xfId="101" xr:uid="{83CEA12B-C9C0-437D-A7F6-64F79BADF621}"/>
    <cellStyle name="Para Ent" xfId="15" xr:uid="{A767A5FC-0D19-48BD-B055-152360C57FF8}"/>
    <cellStyle name="Para Ent $" xfId="102" xr:uid="{E6524CEF-2FB6-49A7-B1FB-F30047F598E2}"/>
    <cellStyle name="Para Ent %" xfId="103" xr:uid="{12D42483-4B55-48E1-83C9-DB96B901CE17}"/>
    <cellStyle name="Para Ent 2" xfId="14" xr:uid="{84B282BB-A523-429B-9C6C-66CD19D5DD15}"/>
    <cellStyle name="Para Ent 2 $" xfId="104" xr:uid="{C31966B0-A42B-4E05-854D-854BFA0B95AE}"/>
    <cellStyle name="Para Ent 2 $Bs" xfId="105" xr:uid="{72E15038-AD3E-44F2-8536-76F6582934C3}"/>
    <cellStyle name="Para Ent 2 $US" xfId="106" xr:uid="{4B45A885-9B8A-48DC-8C58-FF1565B3921C}"/>
    <cellStyle name="Para Ent 2 %" xfId="107" xr:uid="{A162E6F4-EA4A-4A67-A32F-36C3DBCD11A4}"/>
    <cellStyle name="Para Ent Fecha" xfId="108" xr:uid="{60B825EE-9BB4-4EB0-989E-AECF540FE0C4}"/>
    <cellStyle name="Para Ent Lista" xfId="109" xr:uid="{FDCFB4C4-DD47-49E6-A55F-26615988AD0C}"/>
    <cellStyle name="Para Ent US$" xfId="110" xr:uid="{705581E6-96C2-4E84-BBC3-96EACCAAD453}"/>
    <cellStyle name="Para Ent US$2" xfId="111" xr:uid="{B448C04F-2533-447D-95DF-6D4CF35E574C}"/>
    <cellStyle name="Para Ent US$2 2" xfId="112" xr:uid="{32E381E3-174E-40DF-9A79-266FE7EDBDF2}"/>
    <cellStyle name="Percent 2" xfId="113" xr:uid="{25DB3D25-12ED-4D30-985A-77316801DB2C}"/>
    <cellStyle name="Percent 2 2" xfId="114" xr:uid="{267AB951-61AB-499A-BD97-56A1B6C0A9FA}"/>
    <cellStyle name="Porcentaje" xfId="4" builtinId="5"/>
    <cellStyle name="Res Par USc$" xfId="115" xr:uid="{FD1F39F9-9E80-4F6C-93E9-0F2B4001E3B2}"/>
    <cellStyle name="Res Parcial" xfId="116" xr:uid="{22A7306D-08CE-4CBA-9B72-DC8DB3522660}"/>
    <cellStyle name="Res Parcial $" xfId="11" xr:uid="{CD68B2E8-4D70-4B56-AC4A-9955F7BCCAD4}"/>
    <cellStyle name="Res Parcial $Bs" xfId="117" xr:uid="{34E41B6A-E7EF-45AF-B687-260392A3A116}"/>
    <cellStyle name="Res Parcial $US" xfId="118" xr:uid="{18B1A713-1270-4DEE-A399-2748EBC24407}"/>
    <cellStyle name="Res Parcial %" xfId="119" xr:uid="{6CBF0A3F-A724-4D48-B38F-88919AF8290E}"/>
    <cellStyle name="Res Parcial .1$" xfId="120" xr:uid="{4B2FC27F-57B6-423C-B160-A46DAB621E21}"/>
    <cellStyle name="Res Parcial 2" xfId="121" xr:uid="{5C41F7F4-A6FB-453D-9A46-99DA4C5F18D7}"/>
    <cellStyle name="Res Parcial 2 $" xfId="122" xr:uid="{1C2329CA-E5D3-462A-8BE5-FCE11D41734D}"/>
    <cellStyle name="Res Parcial 2 %" xfId="123" xr:uid="{94338C98-03CC-4A73-84C7-6188A1E01179}"/>
    <cellStyle name="Res Parcial Fecha" xfId="124" xr:uid="{BAB2B76F-5627-436E-8D68-4D61EC7B1787}"/>
    <cellStyle name="Res Parcial M$" xfId="16" xr:uid="{A9269F9B-BC7C-4CFB-9F79-DD67959AB5CC}"/>
    <cellStyle name="Res Parcial US$" xfId="125" xr:uid="{4E71789F-E233-48A2-A403-DB5376108520}"/>
    <cellStyle name="Res Parcial US$ 2" xfId="126" xr:uid="{C905A0B5-F8B6-45C3-8480-EE4B3617DF0D}"/>
    <cellStyle name="Res Parcial US$4" xfId="127" xr:uid="{408AAE39-B95C-4696-A1E2-37E295B682FF}"/>
    <cellStyle name="Tabla Cabecera" xfId="30" xr:uid="{447D8131-FECD-403A-9746-3A7565D0E03B}"/>
    <cellStyle name="Tabla Col Principal" xfId="128" xr:uid="{B1A1AA56-4AB3-4205-9740-FFED0AD18993}"/>
    <cellStyle name="Tabla ID" xfId="129" xr:uid="{82195BAA-62A3-40E1-AC03-19A96FB3B032}"/>
    <cellStyle name="Tabla sin Negrita" xfId="130" xr:uid="{287B283E-2665-496A-9F15-5670B4961F59}"/>
    <cellStyle name="Tbl Cabecera" xfId="25" xr:uid="{250A3AE1-210D-43B7-BAE6-10923E44E897}"/>
    <cellStyle name="Tbl Cabecera 2" xfId="131" xr:uid="{77531029-C512-44D9-B6C2-1C6611C0AB4D}"/>
    <cellStyle name="Tbl Col Prin" xfId="10" xr:uid="{47AF7332-B413-4EDC-8843-1F2C271F7B60}"/>
    <cellStyle name="Tbl Col Prin 2" xfId="132" xr:uid="{FA9D4AB7-5A10-429B-B8CC-5561D5959180}"/>
    <cellStyle name="Tbl Col Prin Tx" xfId="133" xr:uid="{B20F76A4-1C37-4BE3-8753-6C63004FCDE9}"/>
    <cellStyle name="Tbl Col Sec" xfId="134" xr:uid="{80E066A3-1177-40B6-818C-9E074E601941}"/>
    <cellStyle name="Tbl ID" xfId="26" xr:uid="{16F96FB2-8CAC-40C7-B159-FD3758634B6D}"/>
    <cellStyle name="Tbl ID 2" xfId="9" xr:uid="{BF07B8DD-280C-4C44-9444-E0DF9F780199}"/>
    <cellStyle name="Tbl sin Negrita" xfId="7" xr:uid="{B9D4B14E-9413-464C-9602-46CE0B617C45}"/>
    <cellStyle name="Tbl sin Negrita 2" xfId="135" xr:uid="{86BEEA09-DC71-4EA6-8867-74F1F1372C24}"/>
    <cellStyle name="Tex Color" xfId="136" xr:uid="{FAEAEA5E-517B-4AF7-BEFF-1713E46D0A37}"/>
    <cellStyle name="Tex Color N" xfId="137" xr:uid="{E424A311-41EA-456F-91D8-DB3941B951F0}"/>
    <cellStyle name="Texto" xfId="138" xr:uid="{B42D127E-3998-44D2-8FC0-8E7F5ED1A07A}"/>
    <cellStyle name="Texto Unidad" xfId="139" xr:uid="{301D2D85-6A07-4FCF-B847-4DF450AF1E9C}"/>
    <cellStyle name="Título 1 4" xfId="140" xr:uid="{BA98E9EF-EEC3-42A0-BD3C-F5696C1C0705}"/>
    <cellStyle name="Titulo Cabecera" xfId="5" xr:uid="{0B406A90-C457-490A-A4C1-01E667F5D1A0}"/>
    <cellStyle name="Titulo1" xfId="6" xr:uid="{70813391-AF31-4F2C-815D-C4D338CC38DD}"/>
    <cellStyle name="Titulo2" xfId="141" xr:uid="{48997786-4636-4377-9496-784A20BCFF40}"/>
    <cellStyle name="Titulo3" xfId="142" xr:uid="{381C901F-20C1-41F2-8CB9-C1EACC96F778}"/>
    <cellStyle name="Titulo4" xfId="143" xr:uid="{5963AE9D-3B53-4CC8-9D85-3920C9D884D0}"/>
    <cellStyle name="Total 2" xfId="144" xr:uid="{6BDFF8F8-E245-405B-9937-2742513C4201}"/>
    <cellStyle name="Totale" xfId="145" xr:uid="{EB995FEA-851B-4369-A674-C35AEDE5DD3A}"/>
    <cellStyle name="Totale $" xfId="146" xr:uid="{B73D3A39-6C11-4953-B90D-146E57BEC210}"/>
    <cellStyle name="Totale $ Bs" xfId="147" xr:uid="{A790D2FD-CE06-4D96-89F6-A19A55F5B7AD}"/>
    <cellStyle name="Totale US$" xfId="148" xr:uid="{44EC3978-AA93-4CB7-9D75-0C905E35E04C}"/>
    <cellStyle name="Totale US$4" xfId="149" xr:uid="{FE21B336-4EA3-4811-AA91-3F75A582B76A}"/>
  </cellStyles>
  <dxfs count="0"/>
  <tableStyles count="1" defaultTableStyle="TableStyleMedium2" defaultPivotStyle="PivotStyleLight16">
    <tableStyle name="Invisible" pivot="0" table="0" count="0" xr9:uid="{3368B6A5-8D97-4CE0-86F7-FCF69EC4316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1152525</xdr:colOff>
      <xdr:row>4</xdr:row>
      <xdr:rowOff>82838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07CF29-D93E-4C00-9DC5-AD0788A8BC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4749" b="2634"/>
        <a:stretch/>
      </xdr:blipFill>
      <xdr:spPr>
        <a:xfrm>
          <a:off x="0" y="0"/>
          <a:ext cx="3105150" cy="9400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757532</xdr:colOff>
      <xdr:row>3</xdr:row>
      <xdr:rowOff>166656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5D5A4E8-77E9-457F-B35C-37C5972773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4749" b="2634"/>
        <a:stretch/>
      </xdr:blipFill>
      <xdr:spPr>
        <a:xfrm>
          <a:off x="0" y="0"/>
          <a:ext cx="2869223" cy="8134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8DFA1-B159-4FE9-B4EC-05B116B3631E}">
  <sheetPr>
    <tabColor rgb="FF00B0F0"/>
  </sheetPr>
  <dimension ref="B2:CE147"/>
  <sheetViews>
    <sheetView showGridLines="0" zoomScaleNormal="100" workbookViewId="0">
      <selection activeCell="D3" sqref="D3"/>
    </sheetView>
  </sheetViews>
  <sheetFormatPr baseColWidth="10" defaultRowHeight="15" x14ac:dyDescent="0.25"/>
  <cols>
    <col min="1" max="2" width="8.85546875" customWidth="1"/>
    <col min="3" max="3" width="11.5703125" customWidth="1"/>
    <col min="4" max="4" width="44" customWidth="1"/>
    <col min="5" max="7" width="18.5703125" customWidth="1"/>
    <col min="8" max="8" width="19.7109375" customWidth="1"/>
    <col min="9" max="16" width="18.5703125" customWidth="1"/>
    <col min="17" max="17" width="37.28515625" bestFit="1" customWidth="1"/>
    <col min="18" max="22" width="16.85546875" customWidth="1"/>
    <col min="24" max="25" width="13.85546875" customWidth="1"/>
  </cols>
  <sheetData>
    <row r="2" spans="2:83" ht="19.5" x14ac:dyDescent="0.25">
      <c r="E2" s="1" t="s">
        <v>136</v>
      </c>
    </row>
    <row r="3" spans="2:83" ht="18" x14ac:dyDescent="0.25">
      <c r="E3" s="2" t="s">
        <v>0</v>
      </c>
    </row>
    <row r="6" spans="2:83" ht="20.25" thickBot="1" x14ac:dyDescent="0.3">
      <c r="B6" s="3" t="s">
        <v>0</v>
      </c>
      <c r="C6" s="3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</row>
    <row r="7" spans="2:83" ht="15.75" thickTop="1" x14ac:dyDescent="0.25"/>
    <row r="8" spans="2:83" x14ac:dyDescent="0.25">
      <c r="C8" s="5" t="s">
        <v>1</v>
      </c>
      <c r="D8" s="6" t="s">
        <v>2</v>
      </c>
      <c r="E8" s="7"/>
      <c r="F8" s="6" t="s">
        <v>3</v>
      </c>
    </row>
    <row r="9" spans="2:83" ht="15.75" thickBot="1" x14ac:dyDescent="0.3">
      <c r="C9" s="8">
        <v>1</v>
      </c>
      <c r="D9" s="9" t="s">
        <v>4</v>
      </c>
      <c r="E9" s="10" t="s">
        <v>5</v>
      </c>
      <c r="F9" s="11">
        <f>+F24</f>
        <v>274.39607213884813</v>
      </c>
    </row>
    <row r="10" spans="2:83" x14ac:dyDescent="0.25">
      <c r="C10" s="12"/>
      <c r="D10" s="12"/>
      <c r="E10" s="12"/>
      <c r="F10" s="12"/>
    </row>
    <row r="11" spans="2:83" x14ac:dyDescent="0.25">
      <c r="C11" s="5" t="s">
        <v>1</v>
      </c>
      <c r="D11" s="6" t="s">
        <v>2</v>
      </c>
      <c r="F11" s="6" t="s">
        <v>3</v>
      </c>
      <c r="G11" s="13" t="s">
        <v>6</v>
      </c>
      <c r="H11" s="14"/>
    </row>
    <row r="12" spans="2:83" x14ac:dyDescent="0.25">
      <c r="C12" s="8">
        <v>1</v>
      </c>
      <c r="D12" s="15" t="s">
        <v>7</v>
      </c>
      <c r="E12" s="10" t="s">
        <v>8</v>
      </c>
      <c r="F12" s="16">
        <f t="shared" ref="F12:F18" si="0">VLOOKUP($G12,$D$59:$F$71,3,0)</f>
        <v>73.577664942630747</v>
      </c>
      <c r="G12" s="17" t="s">
        <v>9</v>
      </c>
      <c r="H12" s="18"/>
    </row>
    <row r="13" spans="2:83" x14ac:dyDescent="0.25">
      <c r="C13" s="8">
        <v>2</v>
      </c>
      <c r="D13" s="15" t="s">
        <v>10</v>
      </c>
      <c r="E13" s="10" t="s">
        <v>8</v>
      </c>
      <c r="F13" s="16">
        <f t="shared" si="0"/>
        <v>12.129946682977097</v>
      </c>
      <c r="G13" s="17" t="s">
        <v>11</v>
      </c>
      <c r="H13" s="18"/>
    </row>
    <row r="14" spans="2:83" x14ac:dyDescent="0.25">
      <c r="C14" s="8">
        <v>3</v>
      </c>
      <c r="D14" s="15" t="s">
        <v>12</v>
      </c>
      <c r="E14" s="10" t="s">
        <v>8</v>
      </c>
      <c r="F14" s="16">
        <f t="shared" si="0"/>
        <v>8.2457043951094349</v>
      </c>
      <c r="G14" s="17" t="s">
        <v>13</v>
      </c>
      <c r="H14" s="18"/>
    </row>
    <row r="15" spans="2:83" x14ac:dyDescent="0.25">
      <c r="C15" s="8">
        <v>4</v>
      </c>
      <c r="D15" s="15" t="s">
        <v>14</v>
      </c>
      <c r="E15" s="10" t="s">
        <v>8</v>
      </c>
      <c r="F15" s="16">
        <f t="shared" si="0"/>
        <v>9.0863820812440199</v>
      </c>
      <c r="G15" s="17" t="s">
        <v>15</v>
      </c>
      <c r="H15" s="18"/>
    </row>
    <row r="16" spans="2:83" x14ac:dyDescent="0.25">
      <c r="C16" s="8">
        <v>5</v>
      </c>
      <c r="D16" s="15" t="s">
        <v>16</v>
      </c>
      <c r="E16" s="10" t="s">
        <v>8</v>
      </c>
      <c r="F16" s="16">
        <f t="shared" si="0"/>
        <v>6.8031781641223912</v>
      </c>
      <c r="G16" s="17" t="s">
        <v>17</v>
      </c>
      <c r="H16" s="18"/>
    </row>
    <row r="17" spans="2:83" x14ac:dyDescent="0.25">
      <c r="C17" s="8">
        <v>6</v>
      </c>
      <c r="D17" s="15" t="s">
        <v>18</v>
      </c>
      <c r="E17" s="10" t="s">
        <v>8</v>
      </c>
      <c r="F17" s="16">
        <f t="shared" si="0"/>
        <v>9.0863820812440199</v>
      </c>
      <c r="G17" s="17" t="s">
        <v>15</v>
      </c>
      <c r="H17" s="18"/>
    </row>
    <row r="18" spans="2:83" x14ac:dyDescent="0.25">
      <c r="C18" s="8">
        <v>7</v>
      </c>
      <c r="D18" s="15" t="s">
        <v>19</v>
      </c>
      <c r="E18" s="10" t="s">
        <v>8</v>
      </c>
      <c r="F18" s="16">
        <f t="shared" si="0"/>
        <v>8.2457043951094349</v>
      </c>
      <c r="G18" s="17" t="s">
        <v>13</v>
      </c>
      <c r="H18" s="18"/>
    </row>
    <row r="19" spans="2:83" x14ac:dyDescent="0.25">
      <c r="C19" s="8">
        <v>8</v>
      </c>
      <c r="D19" s="15" t="s">
        <v>20</v>
      </c>
      <c r="E19" s="10" t="s">
        <v>8</v>
      </c>
      <c r="F19" s="16">
        <f>F127</f>
        <v>118.26472161368312</v>
      </c>
      <c r="G19" s="17"/>
      <c r="H19" s="18"/>
    </row>
    <row r="20" spans="2:83" x14ac:dyDescent="0.25">
      <c r="C20" s="8">
        <v>9</v>
      </c>
      <c r="D20" s="15" t="s">
        <v>21</v>
      </c>
      <c r="E20" s="10" t="s">
        <v>8</v>
      </c>
      <c r="F20" s="16">
        <f>VLOOKUP($G20,$D$59:$F$71,3,0)</f>
        <v>6.8031781641223912</v>
      </c>
      <c r="G20" s="17" t="s">
        <v>17</v>
      </c>
      <c r="H20" s="18"/>
    </row>
    <row r="21" spans="2:83" x14ac:dyDescent="0.25">
      <c r="C21" s="8">
        <v>10</v>
      </c>
      <c r="D21" s="15" t="s">
        <v>22</v>
      </c>
      <c r="E21" s="10" t="s">
        <v>8</v>
      </c>
      <c r="F21" s="16">
        <f>VLOOKUP($G21,$D$59:$F$71,3,0)</f>
        <v>9.0863820812440199</v>
      </c>
      <c r="G21" s="17" t="s">
        <v>15</v>
      </c>
      <c r="H21" s="18"/>
    </row>
    <row r="22" spans="2:83" x14ac:dyDescent="0.25">
      <c r="C22" s="8">
        <v>11</v>
      </c>
      <c r="D22" s="15" t="s">
        <v>23</v>
      </c>
      <c r="E22" s="10" t="s">
        <v>8</v>
      </c>
      <c r="F22" s="16">
        <f>VLOOKUP($G22,$D$59:$F$71,3,0)</f>
        <v>6.1489610869648494</v>
      </c>
      <c r="G22" s="17" t="s">
        <v>24</v>
      </c>
      <c r="H22" s="18"/>
    </row>
    <row r="23" spans="2:83" x14ac:dyDescent="0.25">
      <c r="C23" s="8">
        <v>12</v>
      </c>
      <c r="D23" s="15" t="s">
        <v>23</v>
      </c>
      <c r="E23" s="10" t="s">
        <v>8</v>
      </c>
      <c r="F23" s="16">
        <f>VLOOKUP($G23,$D$59:$F$71,3,0)</f>
        <v>6.917866450396609</v>
      </c>
      <c r="G23" s="17" t="s">
        <v>25</v>
      </c>
      <c r="H23" s="18"/>
    </row>
    <row r="24" spans="2:83" x14ac:dyDescent="0.25">
      <c r="C24" s="8" t="s">
        <v>26</v>
      </c>
      <c r="D24" s="9" t="s">
        <v>27</v>
      </c>
      <c r="E24" s="10" t="s">
        <v>8</v>
      </c>
      <c r="F24" s="11">
        <f>SUM(F12:F23)</f>
        <v>274.39607213884813</v>
      </c>
      <c r="G24" s="19"/>
      <c r="H24" s="18"/>
    </row>
    <row r="26" spans="2:83" x14ac:dyDescent="0.25">
      <c r="E26" s="10"/>
    </row>
    <row r="28" spans="2:83" ht="20.25" thickBot="1" x14ac:dyDescent="0.3">
      <c r="B28" s="3" t="s">
        <v>28</v>
      </c>
      <c r="C28" s="3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</row>
    <row r="29" spans="2:83" ht="15.75" thickTop="1" x14ac:dyDescent="0.25">
      <c r="Q29" s="20"/>
    </row>
    <row r="30" spans="2:83" x14ac:dyDescent="0.25">
      <c r="Q30" s="20"/>
    </row>
    <row r="31" spans="2:83" ht="54" x14ac:dyDescent="0.25">
      <c r="C31" s="5" t="s">
        <v>1</v>
      </c>
      <c r="D31" s="6" t="s">
        <v>29</v>
      </c>
      <c r="F31" s="5" t="s">
        <v>30</v>
      </c>
      <c r="G31" s="5" t="s">
        <v>160</v>
      </c>
      <c r="H31" s="5" t="s">
        <v>31</v>
      </c>
      <c r="I31" s="5" t="s">
        <v>25</v>
      </c>
      <c r="J31" s="5" t="s">
        <v>17</v>
      </c>
      <c r="K31" s="5" t="s">
        <v>11</v>
      </c>
      <c r="L31" s="5" t="s">
        <v>15</v>
      </c>
      <c r="M31" s="5" t="s">
        <v>32</v>
      </c>
      <c r="N31" s="5" t="s">
        <v>24</v>
      </c>
      <c r="O31" s="5" t="s">
        <v>13</v>
      </c>
      <c r="Q31" s="5" t="s">
        <v>33</v>
      </c>
      <c r="R31" s="5" t="s">
        <v>34</v>
      </c>
      <c r="S31" s="5" t="s">
        <v>35</v>
      </c>
      <c r="T31" s="5" t="s">
        <v>27</v>
      </c>
      <c r="U31" s="5" t="s">
        <v>36</v>
      </c>
      <c r="V31" s="5" t="s">
        <v>137</v>
      </c>
    </row>
    <row r="32" spans="2:83" x14ac:dyDescent="0.25">
      <c r="C32" s="8">
        <v>1</v>
      </c>
      <c r="D32" s="15" t="s">
        <v>37</v>
      </c>
      <c r="E32" s="68"/>
      <c r="F32" s="21">
        <f t="shared" ref="F32:F49" si="1">+SUMPRODUCT(I32:O32,I$50:O$50)</f>
        <v>50</v>
      </c>
      <c r="G32" s="73">
        <f>V32</f>
        <v>8617121.8552825358</v>
      </c>
      <c r="H32" s="22">
        <f>IFERROR(G32/F32/$F$53*1000,0)</f>
        <v>6.1355341656449411</v>
      </c>
      <c r="I32" s="58">
        <v>1</v>
      </c>
      <c r="J32" s="58">
        <v>1</v>
      </c>
      <c r="K32" s="58">
        <v>1</v>
      </c>
      <c r="L32" s="58">
        <v>1</v>
      </c>
      <c r="M32" s="58">
        <v>1</v>
      </c>
      <c r="N32" s="58">
        <v>1</v>
      </c>
      <c r="O32" s="58">
        <v>1</v>
      </c>
      <c r="Q32" s="15" t="s">
        <v>37</v>
      </c>
      <c r="R32" s="59">
        <v>551298106.08370709</v>
      </c>
      <c r="S32" s="59">
        <v>483156437.77905643</v>
      </c>
      <c r="T32" s="24">
        <f>PMT(12.53%,5,-SUM(R32:S32))</f>
        <v>290745049.95513344</v>
      </c>
      <c r="U32" s="25">
        <v>2.9638069011363372E-2</v>
      </c>
      <c r="V32" s="24">
        <f>+U32*T32</f>
        <v>8617121.8552825358</v>
      </c>
      <c r="W32" s="67"/>
    </row>
    <row r="33" spans="3:23" x14ac:dyDescent="0.25">
      <c r="C33" s="8">
        <v>2</v>
      </c>
      <c r="D33" s="15" t="s">
        <v>38</v>
      </c>
      <c r="F33" s="21">
        <f t="shared" si="1"/>
        <v>37</v>
      </c>
      <c r="G33" s="73">
        <f t="shared" ref="G33:G49" si="2">V33</f>
        <v>601994.54078820092</v>
      </c>
      <c r="H33" s="22">
        <f t="shared" ref="H33:H49" si="3">IFERROR(G33/F33/$F$53*1000,0)</f>
        <v>0.57922990720605505</v>
      </c>
      <c r="I33" s="21"/>
      <c r="J33" s="21"/>
      <c r="K33" s="58">
        <v>1</v>
      </c>
      <c r="L33" s="58">
        <v>1</v>
      </c>
      <c r="M33" s="58">
        <v>1</v>
      </c>
      <c r="N33" s="21"/>
      <c r="O33" s="58">
        <v>1</v>
      </c>
      <c r="Q33" s="15" t="s">
        <v>38</v>
      </c>
      <c r="R33" s="59">
        <v>38513839.746366762</v>
      </c>
      <c r="S33" s="59">
        <v>33753443.7570199</v>
      </c>
      <c r="T33" s="24">
        <f t="shared" ref="T33:T49" si="4">PMT(12.53%,5,-SUM(R33:S33))</f>
        <v>20311530.435987361</v>
      </c>
      <c r="U33" s="25">
        <v>2.9638069011363372E-2</v>
      </c>
      <c r="V33" s="24">
        <f t="shared" ref="V33:V49" si="5">+U33*T33</f>
        <v>601994.54078820092</v>
      </c>
      <c r="W33" s="67"/>
    </row>
    <row r="34" spans="3:23" x14ac:dyDescent="0.25">
      <c r="C34" s="8">
        <v>3</v>
      </c>
      <c r="D34" s="15" t="s">
        <v>39</v>
      </c>
      <c r="F34" s="21">
        <f t="shared" si="1"/>
        <v>24</v>
      </c>
      <c r="G34" s="73">
        <f t="shared" si="2"/>
        <v>171998.44022520029</v>
      </c>
      <c r="H34" s="22">
        <f t="shared" si="3"/>
        <v>0.25513698293600051</v>
      </c>
      <c r="I34" s="21"/>
      <c r="J34" s="21"/>
      <c r="K34" s="58">
        <v>1</v>
      </c>
      <c r="L34" s="21"/>
      <c r="M34" s="21"/>
      <c r="N34" s="21"/>
      <c r="O34" s="58">
        <v>1</v>
      </c>
      <c r="Q34" s="15" t="s">
        <v>39</v>
      </c>
      <c r="R34" s="59">
        <v>11003954.213247646</v>
      </c>
      <c r="S34" s="59">
        <v>9643841.0734342616</v>
      </c>
      <c r="T34" s="24">
        <f t="shared" si="4"/>
        <v>5803294.4102821033</v>
      </c>
      <c r="U34" s="25">
        <v>2.9638069011363372E-2</v>
      </c>
      <c r="V34" s="24">
        <f t="shared" si="5"/>
        <v>171998.44022520029</v>
      </c>
      <c r="W34" s="67"/>
    </row>
    <row r="35" spans="3:23" x14ac:dyDescent="0.25">
      <c r="C35" s="8">
        <v>4</v>
      </c>
      <c r="D35" s="15" t="s">
        <v>40</v>
      </c>
      <c r="F35" s="21">
        <f t="shared" si="1"/>
        <v>24</v>
      </c>
      <c r="G35" s="73">
        <f t="shared" si="2"/>
        <v>300997.27039410046</v>
      </c>
      <c r="H35" s="22">
        <f t="shared" si="3"/>
        <v>0.44648972013800081</v>
      </c>
      <c r="I35" s="21"/>
      <c r="J35" s="21"/>
      <c r="K35" s="58">
        <v>1</v>
      </c>
      <c r="L35" s="21"/>
      <c r="M35" s="21"/>
      <c r="N35" s="21"/>
      <c r="O35" s="58">
        <v>1</v>
      </c>
      <c r="Q35" s="15" t="s">
        <v>40</v>
      </c>
      <c r="R35" s="59">
        <v>19256919.873183381</v>
      </c>
      <c r="S35" s="59">
        <v>16876721.87850995</v>
      </c>
      <c r="T35" s="24">
        <f t="shared" si="4"/>
        <v>10155765.21799368</v>
      </c>
      <c r="U35" s="25">
        <v>2.9638069011363372E-2</v>
      </c>
      <c r="V35" s="24">
        <f t="shared" si="5"/>
        <v>300997.27039410046</v>
      </c>
      <c r="W35" s="67"/>
    </row>
    <row r="36" spans="3:23" x14ac:dyDescent="0.25">
      <c r="C36" s="8">
        <v>5</v>
      </c>
      <c r="D36" s="15" t="s">
        <v>41</v>
      </c>
      <c r="F36" s="21">
        <f t="shared" si="1"/>
        <v>29</v>
      </c>
      <c r="G36" s="73">
        <f t="shared" si="2"/>
        <v>300997.27039410046</v>
      </c>
      <c r="H36" s="22">
        <f t="shared" si="3"/>
        <v>0.36950873390731098</v>
      </c>
      <c r="I36" s="58">
        <v>1</v>
      </c>
      <c r="J36" s="58">
        <v>1</v>
      </c>
      <c r="K36" s="58">
        <v>1</v>
      </c>
      <c r="L36" s="21"/>
      <c r="M36" s="21"/>
      <c r="N36" s="21"/>
      <c r="O36" s="21"/>
      <c r="Q36" s="15" t="s">
        <v>41</v>
      </c>
      <c r="R36" s="59">
        <v>19256919.873183381</v>
      </c>
      <c r="S36" s="59">
        <v>16876721.87850995</v>
      </c>
      <c r="T36" s="24">
        <f t="shared" si="4"/>
        <v>10155765.21799368</v>
      </c>
      <c r="U36" s="25">
        <v>2.9638069011363372E-2</v>
      </c>
      <c r="V36" s="24">
        <f t="shared" si="5"/>
        <v>300997.27039410046</v>
      </c>
      <c r="W36" s="67"/>
    </row>
    <row r="37" spans="3:23" x14ac:dyDescent="0.25">
      <c r="C37" s="8">
        <v>6</v>
      </c>
      <c r="D37" s="15" t="s">
        <v>42</v>
      </c>
      <c r="F37" s="21">
        <f t="shared" si="1"/>
        <v>37</v>
      </c>
      <c r="G37" s="73">
        <f t="shared" si="2"/>
        <v>847952.31031023734</v>
      </c>
      <c r="H37" s="22">
        <f t="shared" si="3"/>
        <v>0.81588669786452916</v>
      </c>
      <c r="I37" s="21"/>
      <c r="J37" s="21"/>
      <c r="K37" s="58">
        <v>1</v>
      </c>
      <c r="L37" s="58">
        <v>1</v>
      </c>
      <c r="M37" s="58">
        <v>1</v>
      </c>
      <c r="N37" s="21"/>
      <c r="O37" s="58">
        <v>1</v>
      </c>
      <c r="Q37" s="15" t="s">
        <v>42</v>
      </c>
      <c r="R37" s="59">
        <v>54249494.271310881</v>
      </c>
      <c r="S37" s="59">
        <v>47544136.492030896</v>
      </c>
      <c r="T37" s="24">
        <f t="shared" si="4"/>
        <v>28610241.442690767</v>
      </c>
      <c r="U37" s="25">
        <v>2.9638069011363372E-2</v>
      </c>
      <c r="V37" s="24">
        <f t="shared" si="5"/>
        <v>847952.31031023734</v>
      </c>
      <c r="W37" s="67"/>
    </row>
    <row r="38" spans="3:23" x14ac:dyDescent="0.25">
      <c r="C38" s="8">
        <v>7</v>
      </c>
      <c r="D38" s="15" t="s">
        <v>43</v>
      </c>
      <c r="F38" s="21">
        <f t="shared" si="1"/>
        <v>29</v>
      </c>
      <c r="G38" s="73">
        <f t="shared" si="2"/>
        <v>60199.454078820112</v>
      </c>
      <c r="H38" s="22">
        <f t="shared" si="3"/>
        <v>7.3901746781462233E-2</v>
      </c>
      <c r="I38" s="58">
        <v>1</v>
      </c>
      <c r="J38" s="58">
        <v>1</v>
      </c>
      <c r="K38" s="58">
        <v>1</v>
      </c>
      <c r="L38" s="21"/>
      <c r="M38" s="21"/>
      <c r="N38" s="21"/>
      <c r="O38" s="21"/>
      <c r="Q38" s="15" t="s">
        <v>43</v>
      </c>
      <c r="R38" s="59">
        <v>3851383.9746366781</v>
      </c>
      <c r="S38" s="59">
        <v>3375344.3757019904</v>
      </c>
      <c r="T38" s="24">
        <f t="shared" si="4"/>
        <v>2031153.0435987366</v>
      </c>
      <c r="U38" s="25">
        <v>2.9638069011363372E-2</v>
      </c>
      <c r="V38" s="24">
        <f t="shared" si="5"/>
        <v>60199.454078820112</v>
      </c>
      <c r="W38" s="67"/>
    </row>
    <row r="39" spans="3:23" x14ac:dyDescent="0.25">
      <c r="C39" s="8">
        <v>8</v>
      </c>
      <c r="D39" s="15" t="s">
        <v>44</v>
      </c>
      <c r="F39" s="21">
        <f t="shared" si="1"/>
        <v>24</v>
      </c>
      <c r="G39" s="73">
        <f t="shared" si="2"/>
        <v>77316.138665067105</v>
      </c>
      <c r="H39" s="22">
        <f t="shared" si="3"/>
        <v>0.11468828627421758</v>
      </c>
      <c r="I39" s="58">
        <v>1</v>
      </c>
      <c r="J39" s="21"/>
      <c r="K39" s="58">
        <v>1</v>
      </c>
      <c r="L39" s="21"/>
      <c r="M39" s="21"/>
      <c r="N39" s="21"/>
      <c r="O39" s="21"/>
      <c r="Q39" s="15" t="s">
        <v>44</v>
      </c>
      <c r="R39" s="59">
        <v>4952417.3248761268</v>
      </c>
      <c r="S39" s="59">
        <v>4329107.5623427061</v>
      </c>
      <c r="T39" s="24">
        <f t="shared" si="4"/>
        <v>2608676.65283537</v>
      </c>
      <c r="U39" s="25">
        <v>2.9638069011363372E-2</v>
      </c>
      <c r="V39" s="24">
        <f t="shared" si="5"/>
        <v>77316.138665067105</v>
      </c>
      <c r="W39" s="67"/>
    </row>
    <row r="40" spans="3:23" x14ac:dyDescent="0.25">
      <c r="C40" s="8">
        <v>9</v>
      </c>
      <c r="D40" s="15" t="s">
        <v>45</v>
      </c>
      <c r="F40" s="21">
        <f t="shared" si="1"/>
        <v>18</v>
      </c>
      <c r="G40" s="73">
        <f t="shared" si="2"/>
        <v>128231.64461523325</v>
      </c>
      <c r="H40" s="22">
        <f t="shared" si="3"/>
        <v>0.25361962493160317</v>
      </c>
      <c r="I40" s="21"/>
      <c r="J40" s="21"/>
      <c r="K40" s="58">
        <v>1</v>
      </c>
      <c r="L40" s="21"/>
      <c r="M40" s="21"/>
      <c r="N40" s="21"/>
      <c r="O40" s="21"/>
      <c r="Q40" s="15" t="s">
        <v>45</v>
      </c>
      <c r="R40" s="59">
        <v>8213765.3193067461</v>
      </c>
      <c r="S40" s="59">
        <v>7179983.2741293665</v>
      </c>
      <c r="T40" s="24">
        <f t="shared" si="4"/>
        <v>4326585.6681171991</v>
      </c>
      <c r="U40" s="25">
        <v>2.9638069011363372E-2</v>
      </c>
      <c r="V40" s="24">
        <f t="shared" si="5"/>
        <v>128231.64461523325</v>
      </c>
      <c r="W40" s="67"/>
    </row>
    <row r="41" spans="3:23" x14ac:dyDescent="0.25">
      <c r="C41" s="8">
        <v>10</v>
      </c>
      <c r="D41" s="15" t="s">
        <v>46</v>
      </c>
      <c r="F41" s="21">
        <f t="shared" si="1"/>
        <v>50</v>
      </c>
      <c r="G41" s="73">
        <f t="shared" si="2"/>
        <v>18857.594796357829</v>
      </c>
      <c r="H41" s="22">
        <f t="shared" si="3"/>
        <v>1.34269213199084E-2</v>
      </c>
      <c r="I41" s="58">
        <v>1</v>
      </c>
      <c r="J41" s="58">
        <v>1</v>
      </c>
      <c r="K41" s="58">
        <v>1</v>
      </c>
      <c r="L41" s="58">
        <v>1</v>
      </c>
      <c r="M41" s="58">
        <v>1</v>
      </c>
      <c r="N41" s="58">
        <v>1</v>
      </c>
      <c r="O41" s="58">
        <v>1</v>
      </c>
      <c r="Q41" s="15" t="s">
        <v>46</v>
      </c>
      <c r="R41" s="59">
        <v>1207906.6646039332</v>
      </c>
      <c r="S41" s="59">
        <v>1055879.8932543185</v>
      </c>
      <c r="T41" s="24">
        <f t="shared" si="4"/>
        <v>636262.59825252928</v>
      </c>
      <c r="U41" s="25">
        <v>2.9638069011363372E-2</v>
      </c>
      <c r="V41" s="24">
        <f t="shared" si="5"/>
        <v>18857.594796357829</v>
      </c>
      <c r="W41" s="67"/>
    </row>
    <row r="42" spans="3:23" x14ac:dyDescent="0.25">
      <c r="C42" s="8">
        <v>11</v>
      </c>
      <c r="D42" s="15" t="s">
        <v>47</v>
      </c>
      <c r="F42" s="21">
        <f t="shared" si="1"/>
        <v>25</v>
      </c>
      <c r="G42" s="73">
        <f t="shared" si="2"/>
        <v>109385.98875210519</v>
      </c>
      <c r="H42" s="22">
        <f t="shared" si="3"/>
        <v>0.15576928874922805</v>
      </c>
      <c r="I42" s="21"/>
      <c r="J42" s="21"/>
      <c r="K42" s="58">
        <v>1</v>
      </c>
      <c r="L42" s="58">
        <v>1</v>
      </c>
      <c r="M42" s="21"/>
      <c r="N42" s="21"/>
      <c r="O42" s="21"/>
      <c r="Q42" s="15" t="s">
        <v>47</v>
      </c>
      <c r="R42" s="59">
        <v>6284623.2304736068</v>
      </c>
      <c r="S42" s="59">
        <v>6846772.0311785545</v>
      </c>
      <c r="T42" s="24">
        <f t="shared" si="4"/>
        <v>3690725.8941250895</v>
      </c>
      <c r="U42" s="25">
        <v>2.9638069011363372E-2</v>
      </c>
      <c r="V42" s="24">
        <f t="shared" si="5"/>
        <v>109385.98875210519</v>
      </c>
      <c r="W42" s="67"/>
    </row>
    <row r="43" spans="3:23" x14ac:dyDescent="0.25">
      <c r="C43" s="8">
        <v>12</v>
      </c>
      <c r="D43" s="15" t="s">
        <v>48</v>
      </c>
      <c r="F43" s="21">
        <f t="shared" si="1"/>
        <v>25</v>
      </c>
      <c r="G43" s="73">
        <f t="shared" si="2"/>
        <v>957127.40158092056</v>
      </c>
      <c r="H43" s="22">
        <f t="shared" si="3"/>
        <v>1.3629812765557459</v>
      </c>
      <c r="I43" s="21"/>
      <c r="J43" s="21"/>
      <c r="K43" s="58">
        <v>1</v>
      </c>
      <c r="L43" s="58">
        <v>1</v>
      </c>
      <c r="M43" s="21"/>
      <c r="N43" s="21"/>
      <c r="O43" s="21"/>
      <c r="Q43" s="15" t="s">
        <v>48</v>
      </c>
      <c r="R43" s="59">
        <v>54990453.266644053</v>
      </c>
      <c r="S43" s="59">
        <v>59909255.272812366</v>
      </c>
      <c r="T43" s="24">
        <f t="shared" si="4"/>
        <v>32293851.57359454</v>
      </c>
      <c r="U43" s="25">
        <v>2.9638069011363372E-2</v>
      </c>
      <c r="V43" s="24">
        <f t="shared" si="5"/>
        <v>957127.40158092056</v>
      </c>
      <c r="W43" s="67"/>
    </row>
    <row r="44" spans="3:23" x14ac:dyDescent="0.25">
      <c r="C44" s="8">
        <v>13</v>
      </c>
      <c r="D44" s="15" t="s">
        <v>49</v>
      </c>
      <c r="F44" s="21">
        <f t="shared" si="1"/>
        <v>24</v>
      </c>
      <c r="G44" s="73">
        <f t="shared" si="2"/>
        <v>420452.39426590444</v>
      </c>
      <c r="H44" s="22">
        <f t="shared" si="3"/>
        <v>0.62368562878108913</v>
      </c>
      <c r="I44" s="21"/>
      <c r="J44" s="21"/>
      <c r="K44" s="58">
        <v>1</v>
      </c>
      <c r="L44" s="21"/>
      <c r="M44" s="58">
        <v>1</v>
      </c>
      <c r="N44" s="21"/>
      <c r="O44" s="21"/>
      <c r="Q44" s="15" t="s">
        <v>49</v>
      </c>
      <c r="R44" s="59">
        <v>24156520.542132933</v>
      </c>
      <c r="S44" s="59">
        <v>26317279.994842574</v>
      </c>
      <c r="T44" s="24">
        <f t="shared" si="4"/>
        <v>14186227.655543316</v>
      </c>
      <c r="U44" s="25">
        <v>2.9638069011363372E-2</v>
      </c>
      <c r="V44" s="24">
        <f t="shared" si="5"/>
        <v>420452.39426590444</v>
      </c>
      <c r="W44" s="67"/>
    </row>
    <row r="45" spans="3:23" x14ac:dyDescent="0.25">
      <c r="C45" s="8">
        <v>14</v>
      </c>
      <c r="D45" s="15" t="s">
        <v>50</v>
      </c>
      <c r="F45" s="21">
        <f t="shared" si="1"/>
        <v>31</v>
      </c>
      <c r="G45" s="73">
        <f t="shared" si="2"/>
        <v>20509.872891019724</v>
      </c>
      <c r="H45" s="22">
        <f t="shared" si="3"/>
        <v>2.3553823903613116E-2</v>
      </c>
      <c r="I45" s="21"/>
      <c r="J45" s="21"/>
      <c r="K45" s="58">
        <v>1</v>
      </c>
      <c r="L45" s="58">
        <v>1</v>
      </c>
      <c r="M45" s="58">
        <v>1</v>
      </c>
      <c r="N45" s="21"/>
      <c r="O45" s="21"/>
      <c r="Q45" s="15" t="s">
        <v>50</v>
      </c>
      <c r="R45" s="59">
        <v>1178366.8557138012</v>
      </c>
      <c r="S45" s="59">
        <v>1283769.7558459791</v>
      </c>
      <c r="T45" s="24">
        <f t="shared" si="4"/>
        <v>692011.10514845431</v>
      </c>
      <c r="U45" s="25">
        <v>2.9638069011363372E-2</v>
      </c>
      <c r="V45" s="24">
        <f t="shared" si="5"/>
        <v>20509.872891019724</v>
      </c>
      <c r="W45" s="67"/>
    </row>
    <row r="46" spans="3:23" x14ac:dyDescent="0.25">
      <c r="C46" s="8">
        <v>15</v>
      </c>
      <c r="D46" s="15" t="s">
        <v>51</v>
      </c>
      <c r="F46" s="21">
        <f t="shared" si="1"/>
        <v>29</v>
      </c>
      <c r="G46" s="73">
        <f t="shared" si="2"/>
        <v>171720.46096774121</v>
      </c>
      <c r="H46" s="22">
        <f t="shared" si="3"/>
        <v>0.21080659646876829</v>
      </c>
      <c r="I46" s="58">
        <v>1</v>
      </c>
      <c r="J46" s="58">
        <v>1</v>
      </c>
      <c r="K46" s="58">
        <v>1</v>
      </c>
      <c r="L46" s="21"/>
      <c r="M46" s="21"/>
      <c r="N46" s="21"/>
      <c r="O46" s="21"/>
      <c r="Q46" s="15" t="s">
        <v>51</v>
      </c>
      <c r="R46" s="59">
        <v>11344548.171883786</v>
      </c>
      <c r="S46" s="59">
        <v>9269876.7028662208</v>
      </c>
      <c r="T46" s="24">
        <f t="shared" si="4"/>
        <v>5793915.2817919003</v>
      </c>
      <c r="U46" s="25">
        <v>2.9638069011363372E-2</v>
      </c>
      <c r="V46" s="24">
        <f t="shared" si="5"/>
        <v>171720.46096774121</v>
      </c>
      <c r="W46" s="67"/>
    </row>
    <row r="47" spans="3:23" x14ac:dyDescent="0.25">
      <c r="C47" s="8">
        <v>16</v>
      </c>
      <c r="D47" s="15" t="s">
        <v>52</v>
      </c>
      <c r="F47" s="21">
        <f t="shared" si="1"/>
        <v>18</v>
      </c>
      <c r="G47" s="73">
        <f t="shared" si="2"/>
        <v>8586.0230483870637</v>
      </c>
      <c r="H47" s="22">
        <f t="shared" si="3"/>
        <v>1.6981642493317451E-2</v>
      </c>
      <c r="I47" s="21"/>
      <c r="J47" s="21"/>
      <c r="K47" s="58">
        <v>1</v>
      </c>
      <c r="L47" s="21"/>
      <c r="M47" s="21"/>
      <c r="N47" s="21"/>
      <c r="O47" s="21"/>
      <c r="Q47" s="15" t="s">
        <v>52</v>
      </c>
      <c r="R47" s="59">
        <v>567227.40859418933</v>
      </c>
      <c r="S47" s="59">
        <v>463493.83514331124</v>
      </c>
      <c r="T47" s="24">
        <f t="shared" si="4"/>
        <v>289695.76408959512</v>
      </c>
      <c r="U47" s="25">
        <v>2.9638069011363372E-2</v>
      </c>
      <c r="V47" s="24">
        <f t="shared" si="5"/>
        <v>8586.0230483870637</v>
      </c>
      <c r="W47" s="67"/>
    </row>
    <row r="48" spans="3:23" x14ac:dyDescent="0.25">
      <c r="C48" s="8">
        <v>17</v>
      </c>
      <c r="D48" s="15" t="s">
        <v>53</v>
      </c>
      <c r="F48" s="21">
        <f t="shared" si="1"/>
        <v>18</v>
      </c>
      <c r="G48" s="73">
        <f t="shared" si="2"/>
        <v>213060.5719414567</v>
      </c>
      <c r="H48" s="22">
        <f t="shared" si="3"/>
        <v>0.42139631372306252</v>
      </c>
      <c r="I48" s="21"/>
      <c r="J48" s="21"/>
      <c r="K48" s="58">
        <v>1</v>
      </c>
      <c r="L48" s="21"/>
      <c r="M48" s="21"/>
      <c r="N48" s="21"/>
      <c r="O48" s="21"/>
      <c r="Q48" s="15" t="s">
        <v>53</v>
      </c>
      <c r="R48" s="59">
        <v>14075643.102152102</v>
      </c>
      <c r="S48" s="59">
        <v>11501513.686889572</v>
      </c>
      <c r="T48" s="24">
        <f t="shared" si="4"/>
        <v>7188746.738519581</v>
      </c>
      <c r="U48" s="25">
        <v>2.9638069011363372E-2</v>
      </c>
      <c r="V48" s="24">
        <f t="shared" si="5"/>
        <v>213060.5719414567</v>
      </c>
      <c r="W48" s="67"/>
    </row>
    <row r="49" spans="2:23" x14ac:dyDescent="0.25">
      <c r="C49" s="8">
        <v>18</v>
      </c>
      <c r="D49" s="15" t="s">
        <v>54</v>
      </c>
      <c r="F49" s="21">
        <f t="shared" si="1"/>
        <v>18</v>
      </c>
      <c r="G49" s="73">
        <f t="shared" si="2"/>
        <v>130117.40409486902</v>
      </c>
      <c r="H49" s="22">
        <f t="shared" si="3"/>
        <v>0.25734932529824439</v>
      </c>
      <c r="I49" s="21"/>
      <c r="J49" s="21"/>
      <c r="K49" s="58">
        <v>1</v>
      </c>
      <c r="L49" s="21"/>
      <c r="M49" s="21"/>
      <c r="N49" s="21"/>
      <c r="O49" s="21"/>
      <c r="Q49" s="15" t="s">
        <v>54</v>
      </c>
      <c r="R49" s="59">
        <v>8334555.9857671391</v>
      </c>
      <c r="S49" s="59">
        <v>7285571.2634547986</v>
      </c>
      <c r="T49" s="24">
        <f t="shared" si="4"/>
        <v>4390211.927942452</v>
      </c>
      <c r="U49" s="25">
        <v>2.9638069011363372E-2</v>
      </c>
      <c r="V49" s="24">
        <f t="shared" si="5"/>
        <v>130117.40409486902</v>
      </c>
      <c r="W49" s="67"/>
    </row>
    <row r="50" spans="2:23" x14ac:dyDescent="0.25">
      <c r="D50" s="60"/>
      <c r="F50" s="60"/>
      <c r="G50" s="60"/>
      <c r="H50" s="60"/>
      <c r="I50" s="27">
        <f>SUM(I32:I49)</f>
        <v>6</v>
      </c>
      <c r="J50" s="27">
        <f t="shared" ref="J50:O50" si="6">SUM(J32:J49)</f>
        <v>5</v>
      </c>
      <c r="K50" s="27">
        <f t="shared" si="6"/>
        <v>18</v>
      </c>
      <c r="L50" s="27">
        <f t="shared" si="6"/>
        <v>7</v>
      </c>
      <c r="M50" s="27">
        <f t="shared" si="6"/>
        <v>6</v>
      </c>
      <c r="N50" s="27">
        <f t="shared" si="6"/>
        <v>2</v>
      </c>
      <c r="O50" s="27">
        <f t="shared" si="6"/>
        <v>6</v>
      </c>
    </row>
    <row r="51" spans="2:23" x14ac:dyDescent="0.25">
      <c r="D51" s="60"/>
      <c r="F51" s="60"/>
      <c r="G51" s="60"/>
      <c r="H51" s="60"/>
      <c r="I51" s="21">
        <f>+SUMPRODUCT($H$32:$H$49,I32:I49)</f>
        <v>6.917866450396609</v>
      </c>
      <c r="J51" s="21">
        <f t="shared" ref="J51:O51" si="7">+SUMPRODUCT($H$32:$H$49,J32:J49)</f>
        <v>6.8031781641223912</v>
      </c>
      <c r="K51" s="21">
        <f t="shared" si="7"/>
        <v>12.129946682977097</v>
      </c>
      <c r="L51" s="21">
        <f t="shared" si="7"/>
        <v>9.0863820812440199</v>
      </c>
      <c r="M51" s="21">
        <f t="shared" si="7"/>
        <v>8.1913171447201361</v>
      </c>
      <c r="N51" s="21">
        <f t="shared" si="7"/>
        <v>6.1489610869648494</v>
      </c>
      <c r="O51" s="21">
        <f t="shared" si="7"/>
        <v>8.2457043951094349</v>
      </c>
      <c r="R51" s="28" t="s">
        <v>145</v>
      </c>
      <c r="S51" s="28" t="s">
        <v>146</v>
      </c>
      <c r="U51" s="28" t="s">
        <v>138</v>
      </c>
    </row>
    <row r="52" spans="2:23" x14ac:dyDescent="0.25">
      <c r="C52" s="5" t="s">
        <v>1</v>
      </c>
      <c r="D52" s="6" t="s">
        <v>55</v>
      </c>
      <c r="F52" s="6"/>
      <c r="G52" s="60"/>
      <c r="H52" s="60"/>
    </row>
    <row r="53" spans="2:23" x14ac:dyDescent="0.25">
      <c r="C53" s="8">
        <v>1</v>
      </c>
      <c r="D53" s="15" t="s">
        <v>139</v>
      </c>
      <c r="F53" s="29">
        <v>28089231.100799326</v>
      </c>
      <c r="G53" s="28" t="s">
        <v>166</v>
      </c>
      <c r="H53" s="60"/>
      <c r="I53" s="60"/>
      <c r="J53" s="60"/>
      <c r="K53" s="60"/>
      <c r="L53" s="60"/>
      <c r="M53" s="60"/>
      <c r="N53" s="60"/>
    </row>
    <row r="56" spans="2:23" ht="20.25" thickBot="1" x14ac:dyDescent="0.3">
      <c r="B56" s="3" t="s">
        <v>57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2:23" ht="15.75" thickTop="1" x14ac:dyDescent="0.25"/>
    <row r="58" spans="2:23" s="30" customFormat="1" x14ac:dyDescent="0.25">
      <c r="C58" s="5" t="s">
        <v>58</v>
      </c>
      <c r="D58" s="31" t="s">
        <v>59</v>
      </c>
      <c r="F58" s="6" t="s">
        <v>3</v>
      </c>
      <c r="G58" s="32"/>
    </row>
    <row r="59" spans="2:23" x14ac:dyDescent="0.25">
      <c r="C59" s="8">
        <v>19</v>
      </c>
      <c r="D59" s="9" t="s">
        <v>60</v>
      </c>
      <c r="E59" s="10" t="s">
        <v>61</v>
      </c>
      <c r="F59" s="33">
        <v>300</v>
      </c>
      <c r="G59" s="34"/>
    </row>
    <row r="60" spans="2:23" x14ac:dyDescent="0.25">
      <c r="C60" s="8">
        <v>20</v>
      </c>
      <c r="D60" s="9" t="s">
        <v>62</v>
      </c>
      <c r="E60" s="10" t="s">
        <v>63</v>
      </c>
      <c r="F60" s="35">
        <v>0.25</v>
      </c>
      <c r="G60" s="34"/>
    </row>
    <row r="61" spans="2:23" x14ac:dyDescent="0.25">
      <c r="C61" s="8">
        <v>21</v>
      </c>
      <c r="D61" s="9" t="s">
        <v>64</v>
      </c>
      <c r="E61" s="10" t="s">
        <v>65</v>
      </c>
      <c r="F61" s="33">
        <v>100</v>
      </c>
      <c r="G61" s="34"/>
    </row>
    <row r="62" spans="2:23" x14ac:dyDescent="0.25">
      <c r="C62" s="8">
        <v>22</v>
      </c>
      <c r="D62" s="9" t="s">
        <v>66</v>
      </c>
      <c r="E62" s="10" t="s">
        <v>67</v>
      </c>
      <c r="F62" s="36">
        <v>1.4999999999999999E-2</v>
      </c>
      <c r="G62" s="34"/>
    </row>
    <row r="63" spans="2:23" x14ac:dyDescent="0.25">
      <c r="C63" s="8">
        <v>23</v>
      </c>
      <c r="D63" s="37" t="s">
        <v>25</v>
      </c>
      <c r="E63" s="10" t="s">
        <v>68</v>
      </c>
      <c r="F63" s="38">
        <f t="array" ref="F63:F69">TRANSPOSE(I51:O51)</f>
        <v>6.917866450396609</v>
      </c>
    </row>
    <row r="64" spans="2:23" x14ac:dyDescent="0.25">
      <c r="C64" s="8">
        <v>24</v>
      </c>
      <c r="D64" s="37" t="s">
        <v>17</v>
      </c>
      <c r="E64" s="10" t="s">
        <v>68</v>
      </c>
      <c r="F64" s="38">
        <v>6.8031781641223912</v>
      </c>
    </row>
    <row r="65" spans="2:13" x14ac:dyDescent="0.25">
      <c r="C65" s="8">
        <v>25</v>
      </c>
      <c r="D65" s="37" t="s">
        <v>11</v>
      </c>
      <c r="E65" s="10" t="s">
        <v>68</v>
      </c>
      <c r="F65" s="38">
        <v>12.129946682977097</v>
      </c>
    </row>
    <row r="66" spans="2:13" x14ac:dyDescent="0.25">
      <c r="C66" s="8">
        <v>26</v>
      </c>
      <c r="D66" s="37" t="s">
        <v>15</v>
      </c>
      <c r="E66" s="10" t="s">
        <v>68</v>
      </c>
      <c r="F66" s="38">
        <v>9.0863820812440199</v>
      </c>
    </row>
    <row r="67" spans="2:13" x14ac:dyDescent="0.25">
      <c r="C67" s="8">
        <v>27</v>
      </c>
      <c r="D67" s="37" t="s">
        <v>32</v>
      </c>
      <c r="E67" s="10" t="s">
        <v>68</v>
      </c>
      <c r="F67" s="38">
        <v>8.1913171447201361</v>
      </c>
    </row>
    <row r="68" spans="2:13" x14ac:dyDescent="0.25">
      <c r="C68" s="8">
        <v>28</v>
      </c>
      <c r="D68" s="37" t="s">
        <v>24</v>
      </c>
      <c r="E68" s="10" t="s">
        <v>68</v>
      </c>
      <c r="F68" s="38">
        <v>6.1489610869648494</v>
      </c>
    </row>
    <row r="69" spans="2:13" x14ac:dyDescent="0.25">
      <c r="C69" s="8">
        <v>29</v>
      </c>
      <c r="D69" s="37" t="s">
        <v>13</v>
      </c>
      <c r="E69" s="10" t="s">
        <v>68</v>
      </c>
      <c r="F69" s="38">
        <v>8.2457043951094349</v>
      </c>
    </row>
    <row r="70" spans="2:13" x14ac:dyDescent="0.25">
      <c r="C70" s="8">
        <v>30</v>
      </c>
      <c r="D70" s="9" t="s">
        <v>69</v>
      </c>
      <c r="E70" s="10" t="s">
        <v>70</v>
      </c>
      <c r="F70" s="39">
        <v>528.2939682074857</v>
      </c>
    </row>
    <row r="71" spans="2:13" ht="15.75" thickBot="1" x14ac:dyDescent="0.3">
      <c r="C71" s="8">
        <v>31</v>
      </c>
      <c r="D71" s="37" t="s">
        <v>9</v>
      </c>
      <c r="E71" s="10" t="s">
        <v>8</v>
      </c>
      <c r="F71" s="38">
        <f>+F117</f>
        <v>73.577664942630747</v>
      </c>
    </row>
    <row r="72" spans="2:13" x14ac:dyDescent="0.25">
      <c r="C72" s="12"/>
      <c r="D72" s="12"/>
      <c r="F72" s="12"/>
    </row>
    <row r="73" spans="2:13" ht="20.25" thickBot="1" x14ac:dyDescent="0.3">
      <c r="B73" s="3" t="s">
        <v>71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2:13" ht="15.75" thickTop="1" x14ac:dyDescent="0.25"/>
    <row r="75" spans="2:13" x14ac:dyDescent="0.25">
      <c r="C75" s="5" t="s">
        <v>1</v>
      </c>
      <c r="D75" s="6" t="s">
        <v>72</v>
      </c>
      <c r="F75" s="6" t="s">
        <v>73</v>
      </c>
    </row>
    <row r="76" spans="2:13" x14ac:dyDescent="0.25">
      <c r="C76" s="8">
        <v>1</v>
      </c>
      <c r="D76" s="21" t="s">
        <v>72</v>
      </c>
      <c r="F76" s="15">
        <f>40*4.5</f>
        <v>180</v>
      </c>
    </row>
    <row r="77" spans="2:13" ht="15.75" thickBot="1" x14ac:dyDescent="0.3">
      <c r="C77" s="8">
        <v>2</v>
      </c>
      <c r="D77" s="21" t="s">
        <v>74</v>
      </c>
      <c r="F77" s="61">
        <v>0.14953309408500001</v>
      </c>
      <c r="G77" s="28" t="s">
        <v>75</v>
      </c>
    </row>
    <row r="78" spans="2:13" x14ac:dyDescent="0.25">
      <c r="C78" s="12"/>
      <c r="D78" s="12"/>
      <c r="F78" s="12"/>
    </row>
    <row r="79" spans="2:13" x14ac:dyDescent="0.25">
      <c r="C79" s="41" t="s">
        <v>1</v>
      </c>
      <c r="D79" s="41" t="s">
        <v>76</v>
      </c>
      <c r="F79" s="42" t="s">
        <v>77</v>
      </c>
      <c r="H79" s="6" t="s">
        <v>78</v>
      </c>
    </row>
    <row r="80" spans="2:13" x14ac:dyDescent="0.25">
      <c r="C80" s="43">
        <v>6</v>
      </c>
      <c r="D80" s="9" t="s">
        <v>120</v>
      </c>
      <c r="E80" s="44" t="s">
        <v>79</v>
      </c>
      <c r="F80" s="45">
        <v>60000000</v>
      </c>
      <c r="G80" s="44" t="s">
        <v>80</v>
      </c>
      <c r="H80" s="9">
        <f t="shared" ref="H80:H97" si="8">F80/12/$F$76*(1+$F$77)</f>
        <v>31931.474835694444</v>
      </c>
      <c r="I80" s="67"/>
    </row>
    <row r="81" spans="3:9" x14ac:dyDescent="0.25">
      <c r="C81" s="43">
        <v>7</v>
      </c>
      <c r="D81" s="9" t="s">
        <v>121</v>
      </c>
      <c r="E81" s="44" t="s">
        <v>79</v>
      </c>
      <c r="F81" s="45">
        <v>30000000</v>
      </c>
      <c r="G81" s="44" t="s">
        <v>80</v>
      </c>
      <c r="H81" s="9">
        <f t="shared" si="8"/>
        <v>15965.737417847222</v>
      </c>
      <c r="I81" s="67"/>
    </row>
    <row r="82" spans="3:9" x14ac:dyDescent="0.25">
      <c r="C82" s="43">
        <v>8</v>
      </c>
      <c r="D82" s="9" t="s">
        <v>122</v>
      </c>
      <c r="E82" s="44" t="s">
        <v>79</v>
      </c>
      <c r="F82" s="45">
        <v>80000000</v>
      </c>
      <c r="G82" s="44" t="s">
        <v>80</v>
      </c>
      <c r="H82" s="9">
        <f t="shared" si="8"/>
        <v>42575.299780925925</v>
      </c>
      <c r="I82" s="67"/>
    </row>
    <row r="83" spans="3:9" x14ac:dyDescent="0.25">
      <c r="C83" s="43">
        <v>9</v>
      </c>
      <c r="D83" s="37" t="s">
        <v>99</v>
      </c>
      <c r="E83" s="44" t="s">
        <v>79</v>
      </c>
      <c r="F83" s="45">
        <v>50000000</v>
      </c>
      <c r="G83" s="44" t="s">
        <v>80</v>
      </c>
      <c r="H83" s="9">
        <f t="shared" si="8"/>
        <v>26609.562363078701</v>
      </c>
      <c r="I83" s="67"/>
    </row>
    <row r="84" spans="3:9" x14ac:dyDescent="0.25">
      <c r="C84" s="43">
        <v>10</v>
      </c>
      <c r="D84" s="9" t="s">
        <v>123</v>
      </c>
      <c r="E84" s="44" t="s">
        <v>79</v>
      </c>
      <c r="F84" s="45">
        <v>30000000</v>
      </c>
      <c r="G84" s="44" t="s">
        <v>80</v>
      </c>
      <c r="H84" s="9">
        <f t="shared" si="8"/>
        <v>15965.737417847222</v>
      </c>
      <c r="I84" s="67"/>
    </row>
    <row r="85" spans="3:9" x14ac:dyDescent="0.25">
      <c r="C85" s="43">
        <v>11</v>
      </c>
      <c r="D85" s="9" t="s">
        <v>124</v>
      </c>
      <c r="E85" s="44" t="s">
        <v>79</v>
      </c>
      <c r="F85" s="45">
        <v>20000000</v>
      </c>
      <c r="G85" s="44" t="s">
        <v>80</v>
      </c>
      <c r="H85" s="9">
        <f t="shared" si="8"/>
        <v>10643.824945231481</v>
      </c>
      <c r="I85" s="67"/>
    </row>
    <row r="86" spans="3:9" x14ac:dyDescent="0.25">
      <c r="C86" s="43">
        <v>12</v>
      </c>
      <c r="D86" s="9" t="s">
        <v>125</v>
      </c>
      <c r="E86" s="44" t="s">
        <v>79</v>
      </c>
      <c r="F86" s="45">
        <v>80000000</v>
      </c>
      <c r="G86" s="44" t="s">
        <v>80</v>
      </c>
      <c r="H86" s="9">
        <f t="shared" si="8"/>
        <v>42575.299780925925</v>
      </c>
      <c r="I86" s="67"/>
    </row>
    <row r="87" spans="3:9" x14ac:dyDescent="0.25">
      <c r="C87" s="43">
        <v>16</v>
      </c>
      <c r="D87" s="9" t="s">
        <v>126</v>
      </c>
      <c r="E87" s="44" t="s">
        <v>79</v>
      </c>
      <c r="F87" s="45">
        <v>80000000</v>
      </c>
      <c r="G87" s="44" t="s">
        <v>80</v>
      </c>
      <c r="H87" s="9">
        <f t="shared" si="8"/>
        <v>42575.299780925925</v>
      </c>
      <c r="I87" s="67"/>
    </row>
    <row r="88" spans="3:9" x14ac:dyDescent="0.25">
      <c r="C88" s="43">
        <v>19</v>
      </c>
      <c r="D88" s="9" t="s">
        <v>127</v>
      </c>
      <c r="E88" s="44" t="s">
        <v>79</v>
      </c>
      <c r="F88" s="45">
        <v>80000000</v>
      </c>
      <c r="G88" s="44" t="s">
        <v>80</v>
      </c>
      <c r="H88" s="9">
        <f t="shared" si="8"/>
        <v>42575.299780925925</v>
      </c>
      <c r="I88" s="67"/>
    </row>
    <row r="89" spans="3:9" x14ac:dyDescent="0.25">
      <c r="C89" s="43">
        <v>20</v>
      </c>
      <c r="D89" s="37" t="s">
        <v>101</v>
      </c>
      <c r="E89" s="44" t="s">
        <v>79</v>
      </c>
      <c r="F89" s="45">
        <v>80000000</v>
      </c>
      <c r="G89" s="44" t="s">
        <v>80</v>
      </c>
      <c r="H89" s="9">
        <f t="shared" si="8"/>
        <v>42575.299780925925</v>
      </c>
      <c r="I89" s="67"/>
    </row>
    <row r="90" spans="3:9" x14ac:dyDescent="0.25">
      <c r="C90" s="43">
        <v>22</v>
      </c>
      <c r="D90" s="9" t="s">
        <v>128</v>
      </c>
      <c r="E90" s="44" t="s">
        <v>79</v>
      </c>
      <c r="F90" s="45">
        <v>80000000</v>
      </c>
      <c r="G90" s="44" t="s">
        <v>80</v>
      </c>
      <c r="H90" s="9">
        <f t="shared" si="8"/>
        <v>42575.299780925925</v>
      </c>
      <c r="I90" s="67"/>
    </row>
    <row r="91" spans="3:9" x14ac:dyDescent="0.25">
      <c r="C91" s="43">
        <v>23</v>
      </c>
      <c r="D91" s="9" t="s">
        <v>129</v>
      </c>
      <c r="E91" s="44" t="s">
        <v>79</v>
      </c>
      <c r="F91" s="45">
        <v>40000000</v>
      </c>
      <c r="G91" s="44" t="s">
        <v>80</v>
      </c>
      <c r="H91" s="9">
        <f t="shared" si="8"/>
        <v>21287.649890462963</v>
      </c>
      <c r="I91" s="67"/>
    </row>
    <row r="92" spans="3:9" x14ac:dyDescent="0.25">
      <c r="C92" s="43">
        <v>24</v>
      </c>
      <c r="D92" s="9" t="s">
        <v>130</v>
      </c>
      <c r="E92" s="44" t="s">
        <v>79</v>
      </c>
      <c r="F92" s="45">
        <v>100000000</v>
      </c>
      <c r="G92" s="44" t="s">
        <v>80</v>
      </c>
      <c r="H92" s="9">
        <f t="shared" si="8"/>
        <v>53219.124726157403</v>
      </c>
      <c r="I92" s="67"/>
    </row>
    <row r="93" spans="3:9" x14ac:dyDescent="0.25">
      <c r="C93" s="43">
        <v>25</v>
      </c>
      <c r="D93" s="9" t="s">
        <v>131</v>
      </c>
      <c r="E93" s="44" t="s">
        <v>79</v>
      </c>
      <c r="F93" s="45">
        <v>60000000</v>
      </c>
      <c r="G93" s="44" t="s">
        <v>80</v>
      </c>
      <c r="H93" s="9">
        <f t="shared" si="8"/>
        <v>31931.474835694444</v>
      </c>
      <c r="I93" s="67"/>
    </row>
    <row r="94" spans="3:9" x14ac:dyDescent="0.25">
      <c r="C94" s="43">
        <v>26</v>
      </c>
      <c r="D94" s="37" t="s">
        <v>132</v>
      </c>
      <c r="E94" s="44" t="s">
        <v>79</v>
      </c>
      <c r="F94" s="45">
        <v>30000000</v>
      </c>
      <c r="G94" s="44" t="s">
        <v>80</v>
      </c>
      <c r="H94" s="9">
        <f t="shared" si="8"/>
        <v>15965.737417847222</v>
      </c>
      <c r="I94" s="67"/>
    </row>
    <row r="95" spans="3:9" x14ac:dyDescent="0.25">
      <c r="C95" s="43">
        <v>31</v>
      </c>
      <c r="D95" s="9" t="s">
        <v>133</v>
      </c>
      <c r="E95" s="44" t="s">
        <v>79</v>
      </c>
      <c r="F95" s="45">
        <v>100000000</v>
      </c>
      <c r="G95" s="44" t="s">
        <v>80</v>
      </c>
      <c r="H95" s="9">
        <f t="shared" si="8"/>
        <v>53219.124726157403</v>
      </c>
      <c r="I95" s="67"/>
    </row>
    <row r="96" spans="3:9" x14ac:dyDescent="0.25">
      <c r="C96" s="43">
        <v>32</v>
      </c>
      <c r="D96" s="37" t="s">
        <v>134</v>
      </c>
      <c r="E96" s="44" t="s">
        <v>79</v>
      </c>
      <c r="F96" s="45">
        <v>50000000</v>
      </c>
      <c r="G96" s="44" t="s">
        <v>80</v>
      </c>
      <c r="H96" s="9">
        <f t="shared" si="8"/>
        <v>26609.562363078701</v>
      </c>
      <c r="I96" s="67"/>
    </row>
    <row r="97" spans="2:13" ht="15.75" thickBot="1" x14ac:dyDescent="0.3">
      <c r="C97" s="43">
        <v>33</v>
      </c>
      <c r="D97" s="9" t="s">
        <v>135</v>
      </c>
      <c r="E97" s="44" t="s">
        <v>79</v>
      </c>
      <c r="F97" s="45">
        <v>40000000</v>
      </c>
      <c r="G97" s="44" t="s">
        <v>80</v>
      </c>
      <c r="H97" s="9">
        <f t="shared" si="8"/>
        <v>21287.649890462963</v>
      </c>
      <c r="I97" s="67"/>
    </row>
    <row r="98" spans="2:13" x14ac:dyDescent="0.25">
      <c r="C98" s="12"/>
      <c r="D98" s="12"/>
      <c r="F98" s="12"/>
      <c r="H98" s="12"/>
    </row>
    <row r="99" spans="2:13" x14ac:dyDescent="0.25">
      <c r="F99" s="28" t="s">
        <v>144</v>
      </c>
    </row>
    <row r="100" spans="2:13" ht="20.25" thickBot="1" x14ac:dyDescent="0.3">
      <c r="B100" s="3" t="s">
        <v>140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</row>
    <row r="101" spans="2:13" ht="15.75" thickTop="1" x14ac:dyDescent="0.25">
      <c r="B101" s="60"/>
      <c r="C101" s="60"/>
      <c r="D101" s="60"/>
      <c r="E101" s="60"/>
      <c r="F101" s="60"/>
    </row>
    <row r="102" spans="2:13" x14ac:dyDescent="0.25">
      <c r="C102" s="5" t="s">
        <v>58</v>
      </c>
      <c r="D102" s="31" t="s">
        <v>59</v>
      </c>
      <c r="E102" s="30"/>
      <c r="F102" s="6" t="s">
        <v>82</v>
      </c>
      <c r="G102" s="6" t="s">
        <v>83</v>
      </c>
      <c r="H102" s="6" t="s">
        <v>84</v>
      </c>
      <c r="I102" s="6" t="s">
        <v>85</v>
      </c>
      <c r="J102" s="6" t="s">
        <v>86</v>
      </c>
      <c r="K102" s="6" t="s">
        <v>87</v>
      </c>
    </row>
    <row r="103" spans="2:13" x14ac:dyDescent="0.25">
      <c r="C103" s="8">
        <v>1</v>
      </c>
      <c r="D103" s="9" t="s">
        <v>88</v>
      </c>
      <c r="E103" s="10" t="s">
        <v>89</v>
      </c>
      <c r="F103" s="46">
        <v>80</v>
      </c>
      <c r="G103" s="46">
        <v>20</v>
      </c>
      <c r="H103" s="46">
        <v>2</v>
      </c>
      <c r="I103" s="46">
        <v>400</v>
      </c>
      <c r="J103" s="46">
        <v>3</v>
      </c>
      <c r="K103" s="46">
        <v>10</v>
      </c>
    </row>
    <row r="104" spans="2:13" x14ac:dyDescent="0.25">
      <c r="C104" s="8">
        <v>2</v>
      </c>
      <c r="D104" s="9" t="s">
        <v>90</v>
      </c>
      <c r="E104" s="10" t="s">
        <v>89</v>
      </c>
      <c r="F104" s="47">
        <f>SUMPRODUCT(F106:F107,F110:F111)/3600</f>
        <v>3.4657402481708774</v>
      </c>
      <c r="G104" s="47">
        <f t="shared" ref="G104:K104" si="9">SUMPRODUCT(G106:G107,G110:G111)/3600</f>
        <v>233.93746675153417</v>
      </c>
      <c r="H104" s="47">
        <f t="shared" si="9"/>
        <v>38.436034524447017</v>
      </c>
      <c r="I104" s="47">
        <f t="shared" si="9"/>
        <v>192.18017262223506</v>
      </c>
      <c r="J104" s="48">
        <f t="shared" si="9"/>
        <v>19.218017262223508</v>
      </c>
      <c r="K104" s="48">
        <f t="shared" si="9"/>
        <v>19.218017262223508</v>
      </c>
    </row>
    <row r="105" spans="2:13" x14ac:dyDescent="0.25">
      <c r="C105" s="8">
        <v>3</v>
      </c>
      <c r="D105" s="9" t="s">
        <v>91</v>
      </c>
      <c r="E105" s="10" t="s">
        <v>92</v>
      </c>
      <c r="F105" s="62">
        <f>G105</f>
        <v>29.30493727023574</v>
      </c>
      <c r="G105" s="62">
        <f>G140</f>
        <v>29.30493727023574</v>
      </c>
      <c r="H105" s="23">
        <v>2</v>
      </c>
      <c r="I105" s="23">
        <v>10</v>
      </c>
      <c r="J105" s="23">
        <v>1</v>
      </c>
      <c r="K105" s="23">
        <v>1</v>
      </c>
      <c r="L105" s="63"/>
    </row>
    <row r="106" spans="2:13" x14ac:dyDescent="0.25">
      <c r="C106" s="8">
        <v>4</v>
      </c>
      <c r="D106" s="9" t="s">
        <v>94</v>
      </c>
      <c r="E106" s="10" t="s">
        <v>92</v>
      </c>
      <c r="F106" s="47">
        <f>F$105*F108</f>
        <v>0</v>
      </c>
      <c r="G106" s="47">
        <f>G$105*G108</f>
        <v>29.30493727023574</v>
      </c>
      <c r="H106" s="47">
        <f t="shared" ref="H106:K107" si="10">H$105*H108</f>
        <v>2</v>
      </c>
      <c r="I106" s="47">
        <f t="shared" si="10"/>
        <v>10</v>
      </c>
      <c r="J106" s="48">
        <f t="shared" si="10"/>
        <v>1</v>
      </c>
      <c r="K106" s="48">
        <f t="shared" si="10"/>
        <v>1</v>
      </c>
    </row>
    <row r="107" spans="2:13" x14ac:dyDescent="0.25">
      <c r="C107" s="8">
        <v>5</v>
      </c>
      <c r="D107" s="9" t="s">
        <v>95</v>
      </c>
      <c r="E107" s="10" t="s">
        <v>92</v>
      </c>
      <c r="F107" s="47">
        <f>+F105*F109</f>
        <v>0.29304937270235742</v>
      </c>
      <c r="G107" s="47">
        <f t="shared" ref="G107:K107" si="11">+G105*G109</f>
        <v>1.465246863511787</v>
      </c>
      <c r="H107" s="47">
        <f t="shared" si="11"/>
        <v>2</v>
      </c>
      <c r="I107" s="47">
        <f t="shared" si="11"/>
        <v>10</v>
      </c>
      <c r="J107" s="48">
        <f t="shared" si="10"/>
        <v>1</v>
      </c>
      <c r="K107" s="48">
        <f t="shared" si="11"/>
        <v>1</v>
      </c>
    </row>
    <row r="108" spans="2:13" x14ac:dyDescent="0.25">
      <c r="C108" s="8">
        <v>6</v>
      </c>
      <c r="D108" s="9" t="s">
        <v>96</v>
      </c>
      <c r="E108" s="10" t="s">
        <v>97</v>
      </c>
      <c r="F108" s="25">
        <v>0</v>
      </c>
      <c r="G108" s="25">
        <v>1</v>
      </c>
      <c r="H108" s="25">
        <v>1</v>
      </c>
      <c r="I108" s="25">
        <v>1</v>
      </c>
      <c r="J108" s="25">
        <v>1</v>
      </c>
      <c r="K108" s="25">
        <v>1</v>
      </c>
    </row>
    <row r="109" spans="2:13" x14ac:dyDescent="0.25">
      <c r="C109" s="8">
        <v>7</v>
      </c>
      <c r="D109" s="9" t="s">
        <v>98</v>
      </c>
      <c r="E109" s="10" t="s">
        <v>97</v>
      </c>
      <c r="F109" s="25">
        <v>0.01</v>
      </c>
      <c r="G109" s="25">
        <v>0.05</v>
      </c>
      <c r="H109" s="25">
        <v>1</v>
      </c>
      <c r="I109" s="25">
        <v>1</v>
      </c>
      <c r="J109" s="25">
        <v>1</v>
      </c>
      <c r="K109" s="25">
        <v>1</v>
      </c>
    </row>
    <row r="110" spans="2:13" x14ac:dyDescent="0.25">
      <c r="C110" s="8">
        <v>8</v>
      </c>
      <c r="D110" s="9" t="s">
        <v>99</v>
      </c>
      <c r="E110" s="10" t="s">
        <v>100</v>
      </c>
      <c r="F110" s="17">
        <f>VLOOKUP($D110,$D$80:$H$97,5,FALSE)</f>
        <v>26609.562363078701</v>
      </c>
      <c r="G110" s="17">
        <f t="shared" ref="G110:K111" si="12">VLOOKUP($D110,$D$80:$H$97,5,FALSE)</f>
        <v>26609.562363078701</v>
      </c>
      <c r="H110" s="17">
        <f t="shared" si="12"/>
        <v>26609.562363078701</v>
      </c>
      <c r="I110" s="17">
        <f t="shared" si="12"/>
        <v>26609.562363078701</v>
      </c>
      <c r="J110" s="17">
        <f t="shared" si="12"/>
        <v>26609.562363078701</v>
      </c>
      <c r="K110" s="17">
        <f t="shared" si="12"/>
        <v>26609.562363078701</v>
      </c>
    </row>
    <row r="111" spans="2:13" x14ac:dyDescent="0.25">
      <c r="C111" s="8">
        <v>9</v>
      </c>
      <c r="D111" s="9" t="s">
        <v>101</v>
      </c>
      <c r="E111" s="10" t="s">
        <v>100</v>
      </c>
      <c r="F111" s="17">
        <f>VLOOKUP($D111,$D$80:$H$97,5,FALSE)</f>
        <v>42575.299780925925</v>
      </c>
      <c r="G111" s="17">
        <f t="shared" si="12"/>
        <v>42575.299780925925</v>
      </c>
      <c r="H111" s="17">
        <f t="shared" si="12"/>
        <v>42575.299780925925</v>
      </c>
      <c r="I111" s="17">
        <f t="shared" si="12"/>
        <v>42575.299780925925</v>
      </c>
      <c r="J111" s="17">
        <f t="shared" si="12"/>
        <v>42575.299780925925</v>
      </c>
      <c r="K111" s="17">
        <f t="shared" si="12"/>
        <v>42575.299780925925</v>
      </c>
    </row>
    <row r="112" spans="2:13" x14ac:dyDescent="0.25">
      <c r="C112" s="8">
        <v>10</v>
      </c>
      <c r="D112" s="9" t="s">
        <v>81</v>
      </c>
      <c r="E112" s="10" t="s">
        <v>89</v>
      </c>
      <c r="F112" s="64">
        <f>SUM(F103:F104)</f>
        <v>83.465740248170874</v>
      </c>
      <c r="G112" s="64">
        <f>SUM(G103:G104)</f>
        <v>253.93746675153417</v>
      </c>
      <c r="H112" s="64">
        <f>SUM(H103:H104)</f>
        <v>40.436034524447017</v>
      </c>
      <c r="I112" s="64">
        <f t="shared" ref="I112:K112" si="13">SUM(I103:I104)</f>
        <v>592.18017262223509</v>
      </c>
      <c r="J112" s="64">
        <f t="shared" si="13"/>
        <v>22.218017262223508</v>
      </c>
      <c r="K112" s="64">
        <f t="shared" si="13"/>
        <v>29.218017262223508</v>
      </c>
    </row>
    <row r="113" spans="2:13" x14ac:dyDescent="0.25">
      <c r="C113" s="8">
        <v>11</v>
      </c>
      <c r="D113" s="9" t="s">
        <v>102</v>
      </c>
      <c r="E113" s="10" t="s">
        <v>103</v>
      </c>
      <c r="F113" s="50">
        <f>G139</f>
        <v>2.17599092729301</v>
      </c>
      <c r="G113" s="50">
        <f>G138</f>
        <v>0.61427564116268563</v>
      </c>
      <c r="H113" s="50">
        <f>G134</f>
        <v>1.3993990302917005</v>
      </c>
      <c r="I113" s="50">
        <f>G137</f>
        <v>2.0778484770340697E-2</v>
      </c>
      <c r="J113" s="50">
        <f>G136</f>
        <v>1.0015028876120209</v>
      </c>
      <c r="K113" s="50">
        <f>G135</f>
        <v>2.052048867856711</v>
      </c>
    </row>
    <row r="114" spans="2:13" x14ac:dyDescent="0.25">
      <c r="C114" s="8"/>
      <c r="D114" s="9" t="s">
        <v>104</v>
      </c>
      <c r="E114" s="10"/>
      <c r="F114" s="51">
        <f>F139</f>
        <v>0.12280131186945417</v>
      </c>
      <c r="G114" s="51">
        <f>F138</f>
        <v>1.3436927277833804E-2</v>
      </c>
      <c r="H114" s="51">
        <f>F134</f>
        <v>0.24138749756015201</v>
      </c>
      <c r="I114" s="51">
        <f>F137</f>
        <v>1.1887028567345739E-3</v>
      </c>
      <c r="J114" s="51">
        <f>F136</f>
        <v>4.6139331569458666E-2</v>
      </c>
      <c r="K114" s="51">
        <f>F135</f>
        <v>0.57504622886636669</v>
      </c>
    </row>
    <row r="115" spans="2:13" x14ac:dyDescent="0.25">
      <c r="C115" s="8"/>
      <c r="D115" s="9" t="s">
        <v>105</v>
      </c>
      <c r="E115" s="10"/>
      <c r="F115" s="52">
        <f>F113*F114</f>
        <v>0.26721454048761167</v>
      </c>
      <c r="G115" s="52">
        <f t="shared" ref="G115:K115" si="14">G113*G114</f>
        <v>8.2539771188477398E-3</v>
      </c>
      <c r="H115" s="52">
        <f t="shared" si="14"/>
        <v>0.33779743001021695</v>
      </c>
      <c r="I115" s="52">
        <f t="shared" si="14"/>
        <v>2.4699444205119826E-5</v>
      </c>
      <c r="J115" s="52">
        <f t="shared" si="14"/>
        <v>4.6208673799301332E-2</v>
      </c>
      <c r="K115" s="52">
        <f t="shared" si="14"/>
        <v>1.180022962910499</v>
      </c>
    </row>
    <row r="117" spans="2:13" ht="15.75" thickBot="1" x14ac:dyDescent="0.3">
      <c r="C117" s="8">
        <v>12</v>
      </c>
      <c r="D117" s="9" t="s">
        <v>81</v>
      </c>
      <c r="E117" s="10" t="s">
        <v>89</v>
      </c>
      <c r="F117" s="53">
        <f>SUMPRODUCT(F112:K112,F115:K115)</f>
        <v>73.577664942630747</v>
      </c>
    </row>
    <row r="118" spans="2:13" x14ac:dyDescent="0.25">
      <c r="F118" s="12"/>
    </row>
    <row r="119" spans="2:13" ht="20.25" thickBot="1" x14ac:dyDescent="0.3">
      <c r="B119" s="3" t="s">
        <v>106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</row>
    <row r="120" spans="2:13" ht="15.75" thickTop="1" x14ac:dyDescent="0.25">
      <c r="B120" s="60"/>
      <c r="C120" s="60"/>
      <c r="D120" s="60"/>
      <c r="E120" s="60"/>
      <c r="F120" s="60"/>
    </row>
    <row r="121" spans="2:13" x14ac:dyDescent="0.25">
      <c r="C121" s="5" t="s">
        <v>58</v>
      </c>
      <c r="D121" s="31" t="s">
        <v>59</v>
      </c>
      <c r="E121" s="30"/>
      <c r="F121" s="6" t="s">
        <v>3</v>
      </c>
      <c r="G121" s="60"/>
    </row>
    <row r="122" spans="2:13" x14ac:dyDescent="0.25">
      <c r="C122" s="8">
        <v>1</v>
      </c>
      <c r="D122" s="9" t="s">
        <v>107</v>
      </c>
      <c r="E122" s="10" t="s">
        <v>92</v>
      </c>
      <c r="F122" s="15">
        <v>10</v>
      </c>
      <c r="G122" s="63"/>
    </row>
    <row r="123" spans="2:13" x14ac:dyDescent="0.25">
      <c r="C123" s="8">
        <v>2</v>
      </c>
      <c r="D123" s="9" t="s">
        <v>108</v>
      </c>
      <c r="E123" s="10" t="s">
        <v>97</v>
      </c>
      <c r="F123" s="54">
        <v>1</v>
      </c>
      <c r="G123" s="60"/>
    </row>
    <row r="124" spans="2:13" x14ac:dyDescent="0.25">
      <c r="C124" s="8">
        <v>3</v>
      </c>
      <c r="D124" s="9" t="s">
        <v>99</v>
      </c>
      <c r="E124" s="10" t="s">
        <v>100</v>
      </c>
      <c r="F124" s="9">
        <f>VLOOKUP(D124,$D$80:$H$97,5,FALSE)*0</f>
        <v>0</v>
      </c>
      <c r="G124" s="60"/>
    </row>
    <row r="125" spans="2:13" ht="15.75" thickBot="1" x14ac:dyDescent="0.3">
      <c r="C125" s="8">
        <v>4</v>
      </c>
      <c r="D125" s="9" t="s">
        <v>101</v>
      </c>
      <c r="E125" s="10" t="s">
        <v>100</v>
      </c>
      <c r="F125" s="9">
        <f>VLOOKUP(D125,$D$80:$H$97,5,FALSE)</f>
        <v>42575.299780925925</v>
      </c>
      <c r="G125" s="60"/>
    </row>
    <row r="126" spans="2:13" x14ac:dyDescent="0.25">
      <c r="C126" s="12"/>
      <c r="D126" s="12"/>
      <c r="F126" s="12"/>
      <c r="G126" s="60"/>
    </row>
    <row r="127" spans="2:13" ht="15.75" thickBot="1" x14ac:dyDescent="0.3">
      <c r="C127" s="8">
        <v>5</v>
      </c>
      <c r="D127" s="9" t="s">
        <v>106</v>
      </c>
      <c r="E127" s="10" t="s">
        <v>109</v>
      </c>
      <c r="F127" s="55">
        <f>F122*F124/3600+F122*F123*F125/3600</f>
        <v>118.26472161368312</v>
      </c>
    </row>
    <row r="128" spans="2:13" x14ac:dyDescent="0.25">
      <c r="C128" s="12"/>
      <c r="D128" s="12"/>
      <c r="F128" s="12"/>
    </row>
    <row r="130" spans="2:13" ht="20.25" thickBot="1" x14ac:dyDescent="0.3">
      <c r="B130" s="3" t="s">
        <v>110</v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</row>
    <row r="131" spans="2:13" ht="15.75" thickTop="1" x14ac:dyDescent="0.25"/>
    <row r="133" spans="2:13" ht="40.5" x14ac:dyDescent="0.25">
      <c r="D133" s="31" t="s">
        <v>111</v>
      </c>
      <c r="F133" s="56" t="s">
        <v>112</v>
      </c>
      <c r="G133" s="56" t="s">
        <v>113</v>
      </c>
    </row>
    <row r="134" spans="2:13" x14ac:dyDescent="0.25">
      <c r="D134" s="9" t="s">
        <v>114</v>
      </c>
      <c r="F134" s="25">
        <v>0.24138749756015201</v>
      </c>
      <c r="G134" s="57">
        <v>1.3993990302917005</v>
      </c>
      <c r="H134" s="28" t="s">
        <v>115</v>
      </c>
    </row>
    <row r="135" spans="2:13" x14ac:dyDescent="0.25">
      <c r="D135" s="9" t="s">
        <v>87</v>
      </c>
      <c r="F135" s="25">
        <v>0.57504622886636669</v>
      </c>
      <c r="G135" s="57">
        <v>2.052048867856711</v>
      </c>
      <c r="H135" s="28" t="s">
        <v>115</v>
      </c>
    </row>
    <row r="136" spans="2:13" x14ac:dyDescent="0.25">
      <c r="D136" s="9" t="s">
        <v>86</v>
      </c>
      <c r="F136" s="25">
        <v>4.6139331569458666E-2</v>
      </c>
      <c r="G136" s="57">
        <v>1.0015028876120209</v>
      </c>
      <c r="H136" s="28" t="s">
        <v>115</v>
      </c>
    </row>
    <row r="137" spans="2:13" x14ac:dyDescent="0.25">
      <c r="D137" s="9" t="s">
        <v>116</v>
      </c>
      <c r="F137" s="25">
        <v>1.1887028567345739E-3</v>
      </c>
      <c r="G137" s="57">
        <v>2.0778484770340697E-2</v>
      </c>
      <c r="H137" s="28" t="s">
        <v>115</v>
      </c>
    </row>
    <row r="138" spans="2:13" x14ac:dyDescent="0.25">
      <c r="D138" s="9" t="s">
        <v>117</v>
      </c>
      <c r="F138" s="25">
        <v>1.3436927277833804E-2</v>
      </c>
      <c r="G138" s="57">
        <v>0.61427564116268563</v>
      </c>
      <c r="H138" s="28" t="s">
        <v>115</v>
      </c>
    </row>
    <row r="139" spans="2:13" x14ac:dyDescent="0.25">
      <c r="D139" s="9" t="s">
        <v>82</v>
      </c>
      <c r="F139" s="25">
        <v>0.12280131186945417</v>
      </c>
      <c r="G139" s="57">
        <v>2.17599092729301</v>
      </c>
      <c r="H139" s="28" t="s">
        <v>115</v>
      </c>
    </row>
    <row r="140" spans="2:13" ht="15.75" thickBot="1" x14ac:dyDescent="0.3">
      <c r="D140" s="9" t="s">
        <v>118</v>
      </c>
      <c r="G140" s="57">
        <v>29.30493727023574</v>
      </c>
      <c r="H140" s="28" t="s">
        <v>115</v>
      </c>
    </row>
    <row r="141" spans="2:13" x14ac:dyDescent="0.25">
      <c r="D141" s="12"/>
      <c r="F141" s="12"/>
      <c r="G141" s="12"/>
    </row>
    <row r="142" spans="2:13" x14ac:dyDescent="0.25">
      <c r="F142" s="65"/>
    </row>
    <row r="143" spans="2:13" ht="20.25" thickBot="1" x14ac:dyDescent="0.3">
      <c r="B143" s="3" t="s">
        <v>141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</row>
    <row r="144" spans="2:13" ht="15.75" thickTop="1" x14ac:dyDescent="0.25"/>
    <row r="146" spans="4:6" x14ac:dyDescent="0.25">
      <c r="D146" t="s">
        <v>142</v>
      </c>
      <c r="F146" s="66">
        <v>3951.28</v>
      </c>
    </row>
    <row r="147" spans="4:6" x14ac:dyDescent="0.25">
      <c r="D147" t="s">
        <v>143</v>
      </c>
      <c r="F147" s="66">
        <v>4386.2</v>
      </c>
    </row>
  </sheetData>
  <pageMargins left="0.7" right="0.7" top="0.75" bottom="0.75" header="0.3" footer="0.3"/>
  <headerFooter>
    <oddHeader>&amp;R&amp;"Aptos"&amp;10&amp;KFF0000 Información pública&amp;1#_x000D_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87E74-BF79-4688-B5E4-9DDAAE5C239D}">
  <sheetPr>
    <tabColor rgb="FF00B0F0"/>
  </sheetPr>
  <dimension ref="B2:CE162"/>
  <sheetViews>
    <sheetView showGridLines="0" tabSelected="1" topLeftCell="A2" zoomScaleNormal="100" workbookViewId="0">
      <pane ySplit="3" topLeftCell="A5" activePane="bottomLeft" state="frozen"/>
      <selection activeCell="A2" sqref="A2"/>
      <selection pane="bottomLeft" activeCell="B5" sqref="B5"/>
    </sheetView>
  </sheetViews>
  <sheetFormatPr baseColWidth="10" defaultRowHeight="15" x14ac:dyDescent="0.25"/>
  <cols>
    <col min="1" max="2" width="8.85546875" customWidth="1"/>
    <col min="3" max="3" width="11.5703125" customWidth="1"/>
    <col min="4" max="4" width="44" customWidth="1"/>
    <col min="5" max="5" width="22.85546875" customWidth="1"/>
    <col min="6" max="7" width="18.85546875" customWidth="1"/>
    <col min="8" max="8" width="21.140625" customWidth="1"/>
    <col min="9" max="15" width="18.85546875" customWidth="1"/>
    <col min="17" max="17" width="37.28515625" bestFit="1" customWidth="1"/>
    <col min="18" max="21" width="16.85546875" customWidth="1"/>
    <col min="22" max="22" width="20.5703125" customWidth="1"/>
    <col min="23" max="23" width="17.85546875" customWidth="1"/>
    <col min="24" max="24" width="14.140625" customWidth="1"/>
  </cols>
  <sheetData>
    <row r="2" spans="2:83" ht="19.5" x14ac:dyDescent="0.25">
      <c r="E2" s="1" t="s">
        <v>119</v>
      </c>
    </row>
    <row r="3" spans="2:83" ht="18" x14ac:dyDescent="0.25">
      <c r="E3" s="2" t="s">
        <v>0</v>
      </c>
    </row>
    <row r="6" spans="2:83" ht="20.25" thickBot="1" x14ac:dyDescent="0.3">
      <c r="B6" s="3" t="s">
        <v>0</v>
      </c>
      <c r="C6" s="3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</row>
    <row r="7" spans="2:83" ht="15.75" thickTop="1" x14ac:dyDescent="0.25"/>
    <row r="8" spans="2:83" x14ac:dyDescent="0.25">
      <c r="C8" s="5" t="s">
        <v>1</v>
      </c>
      <c r="D8" s="6" t="s">
        <v>2</v>
      </c>
      <c r="E8" s="7"/>
      <c r="F8" s="6" t="s">
        <v>3</v>
      </c>
    </row>
    <row r="9" spans="2:83" ht="15.75" thickBot="1" x14ac:dyDescent="0.3">
      <c r="C9" s="8">
        <v>1</v>
      </c>
      <c r="D9" s="9" t="s">
        <v>4</v>
      </c>
      <c r="E9" s="10" t="s">
        <v>5</v>
      </c>
      <c r="F9" s="11">
        <f>+F26</f>
        <v>1980.8607370115142</v>
      </c>
    </row>
    <row r="10" spans="2:83" x14ac:dyDescent="0.25">
      <c r="C10" s="12"/>
      <c r="D10" s="12"/>
      <c r="E10" s="12"/>
      <c r="F10" s="12"/>
    </row>
    <row r="11" spans="2:83" x14ac:dyDescent="0.25">
      <c r="C11" s="5" t="s">
        <v>1</v>
      </c>
      <c r="D11" s="6" t="s">
        <v>2</v>
      </c>
      <c r="F11" s="6" t="s">
        <v>3</v>
      </c>
      <c r="G11" s="13" t="s">
        <v>6</v>
      </c>
      <c r="H11" s="14"/>
    </row>
    <row r="12" spans="2:83" x14ac:dyDescent="0.25">
      <c r="C12" s="8">
        <v>1</v>
      </c>
      <c r="D12" s="15" t="s">
        <v>7</v>
      </c>
      <c r="E12" s="10" t="s">
        <v>8</v>
      </c>
      <c r="F12" s="16">
        <f>VLOOKUP($G12,$D$61:$F$73,3,0)</f>
        <v>73.577664942630747</v>
      </c>
      <c r="G12" s="17" t="s">
        <v>9</v>
      </c>
      <c r="H12" s="18"/>
    </row>
    <row r="13" spans="2:83" x14ac:dyDescent="0.25">
      <c r="C13" s="8">
        <v>2</v>
      </c>
      <c r="D13" s="15" t="s">
        <v>10</v>
      </c>
      <c r="E13" s="10" t="s">
        <v>8</v>
      </c>
      <c r="F13" s="16">
        <f>VLOOKUP($G13,$D$61:$F$73,3,0)</f>
        <v>196.27738586769621</v>
      </c>
      <c r="G13" s="17" t="s">
        <v>11</v>
      </c>
      <c r="H13" s="18"/>
    </row>
    <row r="14" spans="2:83" x14ac:dyDescent="0.25">
      <c r="C14" s="8">
        <v>3</v>
      </c>
      <c r="D14" s="15" t="s">
        <v>12</v>
      </c>
      <c r="E14" s="10" t="s">
        <v>8</v>
      </c>
      <c r="F14" s="16">
        <f>VLOOKUP($G14,$D$61:$F$73,3,0)</f>
        <v>47.622188895645209</v>
      </c>
      <c r="G14" s="17" t="s">
        <v>13</v>
      </c>
      <c r="H14" s="18"/>
    </row>
    <row r="15" spans="2:83" x14ac:dyDescent="0.25">
      <c r="C15" s="8">
        <v>4</v>
      </c>
      <c r="D15" s="15" t="s">
        <v>14</v>
      </c>
      <c r="E15" s="10" t="s">
        <v>8</v>
      </c>
      <c r="F15" s="16">
        <f>VLOOKUP($G15,$D$61:$F$73,3,0)</f>
        <v>127.28412261060657</v>
      </c>
      <c r="G15" s="17" t="s">
        <v>15</v>
      </c>
      <c r="H15" s="18"/>
    </row>
    <row r="16" spans="2:83" x14ac:dyDescent="0.25">
      <c r="C16" s="8">
        <v>5</v>
      </c>
      <c r="D16" s="15" t="s">
        <v>16</v>
      </c>
      <c r="E16" s="10" t="s">
        <v>8</v>
      </c>
      <c r="F16" s="16">
        <f>VLOOKUP($G16,$D$61:$F$73,3,0)</f>
        <v>45.909816696797208</v>
      </c>
      <c r="G16" s="17" t="s">
        <v>17</v>
      </c>
      <c r="H16" s="18"/>
    </row>
    <row r="17" spans="2:83" x14ac:dyDescent="0.25">
      <c r="C17" s="8">
        <v>6</v>
      </c>
      <c r="D17" s="69" t="s">
        <v>149</v>
      </c>
      <c r="E17" s="10" t="s">
        <v>8</v>
      </c>
      <c r="F17" s="16">
        <f>VLOOKUP($G17,$D$61:$F$75,3,0)*$F$128</f>
        <v>470.71677190789524</v>
      </c>
      <c r="G17" s="17" t="s">
        <v>149</v>
      </c>
      <c r="H17" s="18"/>
    </row>
    <row r="18" spans="2:83" x14ac:dyDescent="0.25">
      <c r="C18" s="8">
        <v>7</v>
      </c>
      <c r="D18" s="15" t="s">
        <v>18</v>
      </c>
      <c r="E18" s="10" t="s">
        <v>8</v>
      </c>
      <c r="F18" s="16">
        <f>VLOOKUP($G18,$D$61:$F$73,3,0)</f>
        <v>127.28412261060657</v>
      </c>
      <c r="G18" s="17" t="s">
        <v>15</v>
      </c>
      <c r="H18" s="18"/>
    </row>
    <row r="19" spans="2:83" x14ac:dyDescent="0.25">
      <c r="C19" s="8">
        <v>8</v>
      </c>
      <c r="D19" s="15" t="s">
        <v>19</v>
      </c>
      <c r="E19" s="10" t="s">
        <v>8</v>
      </c>
      <c r="F19" s="16">
        <f>VLOOKUP($G19,$D$61:$F$73,3,0)</f>
        <v>47.622188895645209</v>
      </c>
      <c r="G19" s="17" t="s">
        <v>13</v>
      </c>
      <c r="H19" s="18"/>
    </row>
    <row r="20" spans="2:83" x14ac:dyDescent="0.25">
      <c r="C20" s="8">
        <v>9</v>
      </c>
      <c r="D20" s="15" t="s">
        <v>20</v>
      </c>
      <c r="E20" s="10" t="s">
        <v>8</v>
      </c>
      <c r="F20" s="16">
        <f>F142</f>
        <v>118.26472161368312</v>
      </c>
      <c r="G20" s="17"/>
      <c r="H20" s="18"/>
    </row>
    <row r="21" spans="2:83" x14ac:dyDescent="0.25">
      <c r="C21" s="8">
        <v>10</v>
      </c>
      <c r="D21" s="15" t="s">
        <v>21</v>
      </c>
      <c r="E21" s="10" t="s">
        <v>8</v>
      </c>
      <c r="F21" s="16">
        <f>VLOOKUP($G21,$D$61:$F$73,3,0)</f>
        <v>45.909816696797208</v>
      </c>
      <c r="G21" s="17" t="s">
        <v>17</v>
      </c>
      <c r="H21" s="18"/>
    </row>
    <row r="22" spans="2:83" x14ac:dyDescent="0.25">
      <c r="C22" s="8">
        <v>11</v>
      </c>
      <c r="D22" s="69" t="s">
        <v>150</v>
      </c>
      <c r="E22" s="10" t="s">
        <v>8</v>
      </c>
      <c r="F22" s="16">
        <f>VLOOKUP($G22,$D$61:$F$75,3,0)*$F$128</f>
        <v>470.71677190789524</v>
      </c>
      <c r="G22" s="17" t="s">
        <v>150</v>
      </c>
      <c r="H22" s="18"/>
    </row>
    <row r="23" spans="2:83" x14ac:dyDescent="0.25">
      <c r="C23" s="8">
        <v>12</v>
      </c>
      <c r="D23" s="15" t="s">
        <v>22</v>
      </c>
      <c r="E23" s="10" t="s">
        <v>8</v>
      </c>
      <c r="F23" s="16">
        <f>VLOOKUP($G23,$D$61:$F$73,3,0)</f>
        <v>127.28412261060657</v>
      </c>
      <c r="G23" s="17" t="s">
        <v>15</v>
      </c>
      <c r="H23" s="18"/>
    </row>
    <row r="24" spans="2:83" x14ac:dyDescent="0.25">
      <c r="C24" s="8">
        <v>13</v>
      </c>
      <c r="D24" s="15" t="s">
        <v>23</v>
      </c>
      <c r="E24" s="10" t="s">
        <v>8</v>
      </c>
      <c r="F24" s="16">
        <f>VLOOKUP($G24,$D$61:$F$73,3,0)</f>
        <v>35.54195649970292</v>
      </c>
      <c r="G24" s="17" t="s">
        <v>24</v>
      </c>
      <c r="H24" s="18"/>
    </row>
    <row r="25" spans="2:83" x14ac:dyDescent="0.25">
      <c r="C25" s="8">
        <v>14</v>
      </c>
      <c r="D25" s="15" t="s">
        <v>23</v>
      </c>
      <c r="E25" s="10" t="s">
        <v>8</v>
      </c>
      <c r="F25" s="16">
        <f>VLOOKUP($G25,$D$61:$F$73,3,0)</f>
        <v>46.849085255306221</v>
      </c>
      <c r="G25" s="17" t="s">
        <v>25</v>
      </c>
      <c r="H25" s="18"/>
    </row>
    <row r="26" spans="2:83" x14ac:dyDescent="0.25">
      <c r="C26" s="8" t="s">
        <v>26</v>
      </c>
      <c r="D26" s="9" t="s">
        <v>27</v>
      </c>
      <c r="E26" s="10" t="s">
        <v>8</v>
      </c>
      <c r="F26" s="11">
        <f>SUM(F12:F25)</f>
        <v>1980.8607370115142</v>
      </c>
      <c r="G26" s="19"/>
      <c r="H26" s="18"/>
    </row>
    <row r="27" spans="2:83" x14ac:dyDescent="0.25">
      <c r="E27" s="10"/>
      <c r="F27" s="10"/>
    </row>
    <row r="28" spans="2:83" x14ac:dyDescent="0.25">
      <c r="E28" s="10"/>
      <c r="F28" s="10"/>
    </row>
    <row r="30" spans="2:83" ht="20.25" thickBot="1" x14ac:dyDescent="0.3">
      <c r="B30" s="3" t="s">
        <v>28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</row>
    <row r="31" spans="2:83" ht="15.75" thickTop="1" x14ac:dyDescent="0.25">
      <c r="Q31" s="20"/>
    </row>
    <row r="32" spans="2:83" x14ac:dyDescent="0.25">
      <c r="Q32" s="20"/>
    </row>
    <row r="33" spans="3:23" ht="54" x14ac:dyDescent="0.25">
      <c r="C33" s="5" t="s">
        <v>1</v>
      </c>
      <c r="D33" s="6" t="s">
        <v>29</v>
      </c>
      <c r="F33" s="5" t="s">
        <v>30</v>
      </c>
      <c r="G33" s="5" t="s">
        <v>160</v>
      </c>
      <c r="H33" s="5" t="s">
        <v>31</v>
      </c>
      <c r="I33" s="5" t="s">
        <v>25</v>
      </c>
      <c r="J33" s="5" t="s">
        <v>17</v>
      </c>
      <c r="K33" s="5" t="s">
        <v>11</v>
      </c>
      <c r="L33" s="5" t="s">
        <v>15</v>
      </c>
      <c r="M33" s="5" t="s">
        <v>32</v>
      </c>
      <c r="N33" s="5" t="s">
        <v>24</v>
      </c>
      <c r="O33" s="5" t="s">
        <v>13</v>
      </c>
      <c r="Q33" s="5" t="s">
        <v>33</v>
      </c>
      <c r="R33" s="5" t="s">
        <v>34</v>
      </c>
      <c r="S33" s="5" t="s">
        <v>35</v>
      </c>
      <c r="T33" s="5" t="s">
        <v>164</v>
      </c>
      <c r="U33" s="5" t="s">
        <v>36</v>
      </c>
      <c r="V33" s="5" t="s">
        <v>161</v>
      </c>
    </row>
    <row r="34" spans="3:23" x14ac:dyDescent="0.25">
      <c r="C34" s="8">
        <v>1</v>
      </c>
      <c r="D34" s="15" t="s">
        <v>37</v>
      </c>
      <c r="F34" s="21">
        <f t="shared" ref="F34:F51" si="0">+SUMPRODUCT(I34:O34,I$52:O$52)</f>
        <v>50</v>
      </c>
      <c r="G34" s="73">
        <f>V34</f>
        <v>7539594.189228191</v>
      </c>
      <c r="H34" s="22">
        <f>IFERROR(G34/F34/$F$55*1000,0)</f>
        <v>35.437271582508707</v>
      </c>
      <c r="I34" s="23">
        <v>1</v>
      </c>
      <c r="J34" s="23">
        <v>1</v>
      </c>
      <c r="K34" s="23">
        <v>1</v>
      </c>
      <c r="L34" s="23">
        <v>1</v>
      </c>
      <c r="M34" s="23">
        <v>1</v>
      </c>
      <c r="N34" s="23">
        <v>1</v>
      </c>
      <c r="O34" s="23">
        <v>1</v>
      </c>
      <c r="Q34" s="15" t="s">
        <v>37</v>
      </c>
      <c r="R34" s="59">
        <v>121468301.78250037</v>
      </c>
      <c r="S34" s="59">
        <v>77162087.092324927</v>
      </c>
      <c r="T34" s="24">
        <f>PMT($F$162,5,-SUM(R34:S34))</f>
        <v>55841017.895612426</v>
      </c>
      <c r="U34" s="74">
        <v>0.13501892467867418</v>
      </c>
      <c r="V34" s="24">
        <f t="shared" ref="V34:V51" si="1">T34*U34</f>
        <v>7539594.189228191</v>
      </c>
      <c r="W34" s="67"/>
    </row>
    <row r="35" spans="3:23" x14ac:dyDescent="0.25">
      <c r="C35" s="8">
        <v>2</v>
      </c>
      <c r="D35" s="15" t="s">
        <v>38</v>
      </c>
      <c r="F35" s="21">
        <f t="shared" si="0"/>
        <v>37</v>
      </c>
      <c r="G35" s="73">
        <f t="shared" ref="G35:G51" si="2">V35</f>
        <v>529891.15787748306</v>
      </c>
      <c r="H35" s="22">
        <f t="shared" ref="H35:H51" si="3">IFERROR(G35/F35/$F$55*1000,0)</f>
        <v>3.3656368864316839</v>
      </c>
      <c r="I35" s="21"/>
      <c r="J35" s="21"/>
      <c r="K35" s="23">
        <v>1</v>
      </c>
      <c r="L35" s="23">
        <v>1</v>
      </c>
      <c r="M35" s="23">
        <v>1</v>
      </c>
      <c r="N35" s="21"/>
      <c r="O35" s="23">
        <v>1</v>
      </c>
      <c r="Q35" s="15" t="s">
        <v>38</v>
      </c>
      <c r="R35" s="59">
        <v>8536928.840135565</v>
      </c>
      <c r="S35" s="59">
        <v>5423038.2494605854</v>
      </c>
      <c r="T35" s="24">
        <f t="shared" ref="T35:T51" si="4">PMT($F$162,5,-SUM(R35:S35))</f>
        <v>3924569.5308161327</v>
      </c>
      <c r="U35" s="74">
        <v>0.13501892467867418</v>
      </c>
      <c r="V35" s="24">
        <f t="shared" si="1"/>
        <v>529891.15787748306</v>
      </c>
      <c r="W35" s="67"/>
    </row>
    <row r="36" spans="3:23" x14ac:dyDescent="0.25">
      <c r="C36" s="8">
        <v>3</v>
      </c>
      <c r="D36" s="15" t="s">
        <v>39</v>
      </c>
      <c r="F36" s="21">
        <f t="shared" si="0"/>
        <v>24</v>
      </c>
      <c r="G36" s="73">
        <f t="shared" si="2"/>
        <v>151397.4736792809</v>
      </c>
      <c r="H36" s="22">
        <f t="shared" si="3"/>
        <v>1.4824829142615754</v>
      </c>
      <c r="I36" s="21"/>
      <c r="J36" s="21"/>
      <c r="K36" s="23">
        <v>1</v>
      </c>
      <c r="L36" s="21"/>
      <c r="M36" s="21"/>
      <c r="N36" s="21"/>
      <c r="O36" s="23">
        <v>1</v>
      </c>
      <c r="Q36" s="15" t="s">
        <v>39</v>
      </c>
      <c r="R36" s="59">
        <v>2439122.5257530189</v>
      </c>
      <c r="S36" s="59">
        <v>1549439.4998458815</v>
      </c>
      <c r="T36" s="24">
        <f t="shared" si="4"/>
        <v>1121305.5802331809</v>
      </c>
      <c r="U36" s="74">
        <v>0.13501892467867418</v>
      </c>
      <c r="V36" s="24">
        <f t="shared" si="1"/>
        <v>151397.4736792809</v>
      </c>
      <c r="W36" s="67"/>
    </row>
    <row r="37" spans="3:23" x14ac:dyDescent="0.25">
      <c r="C37" s="8">
        <v>4</v>
      </c>
      <c r="D37" s="15" t="s">
        <v>40</v>
      </c>
      <c r="F37" s="21">
        <f t="shared" si="0"/>
        <v>24</v>
      </c>
      <c r="G37" s="73">
        <f t="shared" si="2"/>
        <v>257375.70525477751</v>
      </c>
      <c r="H37" s="22">
        <f t="shared" si="3"/>
        <v>2.5202209542446781</v>
      </c>
      <c r="I37" s="21"/>
      <c r="J37" s="21"/>
      <c r="K37" s="23">
        <v>1</v>
      </c>
      <c r="L37" s="21"/>
      <c r="M37" s="21"/>
      <c r="N37" s="21"/>
      <c r="O37" s="23">
        <v>1</v>
      </c>
      <c r="Q37" s="15" t="s">
        <v>40</v>
      </c>
      <c r="R37" s="59">
        <v>4146508.2937801317</v>
      </c>
      <c r="S37" s="59">
        <v>2634047.1497379988</v>
      </c>
      <c r="T37" s="24">
        <f t="shared" si="4"/>
        <v>1906219.4863964072</v>
      </c>
      <c r="U37" s="74">
        <v>0.13501892467867418</v>
      </c>
      <c r="V37" s="24">
        <f t="shared" si="1"/>
        <v>257375.70525477751</v>
      </c>
      <c r="W37" s="67"/>
    </row>
    <row r="38" spans="3:23" x14ac:dyDescent="0.25">
      <c r="C38" s="8">
        <v>5</v>
      </c>
      <c r="D38" s="15" t="s">
        <v>41</v>
      </c>
      <c r="F38" s="21">
        <f t="shared" si="0"/>
        <v>29</v>
      </c>
      <c r="G38" s="73">
        <f t="shared" si="2"/>
        <v>257375.70525477751</v>
      </c>
      <c r="H38" s="22">
        <f t="shared" si="3"/>
        <v>2.0857001000645612</v>
      </c>
      <c r="I38" s="23">
        <v>1</v>
      </c>
      <c r="J38" s="23">
        <v>1</v>
      </c>
      <c r="K38" s="23">
        <v>1</v>
      </c>
      <c r="L38" s="21"/>
      <c r="M38" s="21"/>
      <c r="N38" s="21"/>
      <c r="O38" s="21"/>
      <c r="Q38" s="15" t="s">
        <v>41</v>
      </c>
      <c r="R38" s="59">
        <v>4146508.2937801317</v>
      </c>
      <c r="S38" s="59">
        <v>2634047.1497379988</v>
      </c>
      <c r="T38" s="24">
        <f t="shared" si="4"/>
        <v>1906219.4863964072</v>
      </c>
      <c r="U38" s="74">
        <v>0.13501892467867418</v>
      </c>
      <c r="V38" s="24">
        <f t="shared" si="1"/>
        <v>257375.70525477751</v>
      </c>
      <c r="W38" s="67"/>
    </row>
    <row r="39" spans="3:23" x14ac:dyDescent="0.25">
      <c r="C39" s="8">
        <v>6</v>
      </c>
      <c r="D39" s="15" t="s">
        <v>42</v>
      </c>
      <c r="F39" s="21">
        <f t="shared" si="0"/>
        <v>37</v>
      </c>
      <c r="G39" s="73">
        <f t="shared" si="2"/>
        <v>741847.62102847639</v>
      </c>
      <c r="H39" s="22">
        <f t="shared" si="3"/>
        <v>4.7118916410043585</v>
      </c>
      <c r="I39" s="21"/>
      <c r="J39" s="21"/>
      <c r="K39" s="23">
        <v>1</v>
      </c>
      <c r="L39" s="23">
        <v>1</v>
      </c>
      <c r="M39" s="23">
        <v>1</v>
      </c>
      <c r="N39" s="21"/>
      <c r="O39" s="23">
        <v>1</v>
      </c>
      <c r="Q39" s="15" t="s">
        <v>42</v>
      </c>
      <c r="R39" s="59">
        <v>11951700.376189791</v>
      </c>
      <c r="S39" s="59">
        <v>7592253.5492448192</v>
      </c>
      <c r="T39" s="24">
        <f t="shared" si="4"/>
        <v>5494397.3431425858</v>
      </c>
      <c r="U39" s="74">
        <v>0.13501892467867418</v>
      </c>
      <c r="V39" s="24">
        <f t="shared" si="1"/>
        <v>741847.62102847639</v>
      </c>
      <c r="W39" s="67"/>
    </row>
    <row r="40" spans="3:23" x14ac:dyDescent="0.25">
      <c r="C40" s="8">
        <v>7</v>
      </c>
      <c r="D40" s="15" t="s">
        <v>43</v>
      </c>
      <c r="F40" s="21">
        <f t="shared" si="0"/>
        <v>29</v>
      </c>
      <c r="G40" s="73">
        <f t="shared" si="2"/>
        <v>60558.989471712346</v>
      </c>
      <c r="H40" s="22">
        <f t="shared" si="3"/>
        <v>0.4907529647210731</v>
      </c>
      <c r="I40" s="23">
        <v>1</v>
      </c>
      <c r="J40" s="23">
        <v>1</v>
      </c>
      <c r="K40" s="23">
        <v>1</v>
      </c>
      <c r="L40" s="21"/>
      <c r="M40" s="21"/>
      <c r="N40" s="21"/>
      <c r="O40" s="21"/>
      <c r="Q40" s="15" t="s">
        <v>43</v>
      </c>
      <c r="R40" s="59">
        <v>975649.01030120743</v>
      </c>
      <c r="S40" s="59">
        <v>619775.79993835266</v>
      </c>
      <c r="T40" s="24">
        <f t="shared" si="4"/>
        <v>448522.23209327227</v>
      </c>
      <c r="U40" s="74">
        <v>0.13501892467867418</v>
      </c>
      <c r="V40" s="24">
        <f t="shared" si="1"/>
        <v>60558.989471712346</v>
      </c>
      <c r="W40" s="67"/>
    </row>
    <row r="41" spans="3:23" x14ac:dyDescent="0.25">
      <c r="C41" s="8">
        <v>8</v>
      </c>
      <c r="D41" s="15" t="s">
        <v>44</v>
      </c>
      <c r="F41" s="21">
        <f t="shared" si="0"/>
        <v>24</v>
      </c>
      <c r="G41" s="73">
        <f t="shared" si="2"/>
        <v>95922.1084416183</v>
      </c>
      <c r="H41" s="22">
        <f t="shared" si="3"/>
        <v>0.93926855850901791</v>
      </c>
      <c r="I41" s="23">
        <v>1</v>
      </c>
      <c r="J41" s="21"/>
      <c r="K41" s="23">
        <v>1</v>
      </c>
      <c r="L41" s="21"/>
      <c r="M41" s="21"/>
      <c r="N41" s="21"/>
      <c r="O41" s="21"/>
      <c r="Q41" s="15" t="s">
        <v>44</v>
      </c>
      <c r="R41" s="59">
        <v>1546245.6132261115</v>
      </c>
      <c r="S41" s="59">
        <v>980819.53421549324</v>
      </c>
      <c r="T41" s="24">
        <f t="shared" si="4"/>
        <v>710434.54589717148</v>
      </c>
      <c r="U41" s="74">
        <v>0.13501892467867418</v>
      </c>
      <c r="V41" s="24">
        <f t="shared" si="1"/>
        <v>95922.1084416183</v>
      </c>
      <c r="W41" s="67"/>
    </row>
    <row r="42" spans="3:23" x14ac:dyDescent="0.25">
      <c r="C42" s="8">
        <v>9</v>
      </c>
      <c r="D42" s="15" t="s">
        <v>45</v>
      </c>
      <c r="F42" s="21">
        <f t="shared" si="0"/>
        <v>18</v>
      </c>
      <c r="G42" s="73">
        <f t="shared" si="2"/>
        <v>157125.09275461177</v>
      </c>
      <c r="H42" s="22">
        <f t="shared" si="3"/>
        <v>2.051423622421646</v>
      </c>
      <c r="I42" s="21"/>
      <c r="J42" s="21"/>
      <c r="K42" s="23">
        <v>1</v>
      </c>
      <c r="L42" s="21"/>
      <c r="M42" s="21"/>
      <c r="N42" s="21"/>
      <c r="O42" s="21"/>
      <c r="Q42" s="15" t="s">
        <v>45</v>
      </c>
      <c r="R42" s="59">
        <v>2532825.741079649</v>
      </c>
      <c r="S42" s="59">
        <v>1606630.2419003053</v>
      </c>
      <c r="T42" s="24">
        <f t="shared" si="4"/>
        <v>1163726.4415232688</v>
      </c>
      <c r="U42" s="74">
        <v>0.13501892467867418</v>
      </c>
      <c r="V42" s="24">
        <f t="shared" si="1"/>
        <v>157125.09275461177</v>
      </c>
      <c r="W42" s="67"/>
    </row>
    <row r="43" spans="3:23" x14ac:dyDescent="0.25">
      <c r="C43" s="8">
        <v>10</v>
      </c>
      <c r="D43" s="15" t="s">
        <v>46</v>
      </c>
      <c r="F43" s="21">
        <f t="shared" si="0"/>
        <v>50</v>
      </c>
      <c r="G43" s="73">
        <f t="shared" si="2"/>
        <v>22272.645667419663</v>
      </c>
      <c r="H43" s="22">
        <f t="shared" si="3"/>
        <v>0.10468491719421484</v>
      </c>
      <c r="I43" s="23">
        <v>1</v>
      </c>
      <c r="J43" s="23">
        <v>1</v>
      </c>
      <c r="K43" s="23">
        <v>1</v>
      </c>
      <c r="L43" s="23">
        <v>1</v>
      </c>
      <c r="M43" s="23">
        <v>1</v>
      </c>
      <c r="N43" s="23">
        <v>1</v>
      </c>
      <c r="O43" s="23">
        <v>1</v>
      </c>
      <c r="Q43" s="15" t="s">
        <v>46</v>
      </c>
      <c r="R43" s="59">
        <v>359030.68872957514</v>
      </c>
      <c r="S43" s="59">
        <v>227741.51135930474</v>
      </c>
      <c r="T43" s="24">
        <f t="shared" si="4"/>
        <v>164959.43602295298</v>
      </c>
      <c r="U43" s="74">
        <v>0.13501892467867418</v>
      </c>
      <c r="V43" s="24">
        <f t="shared" si="1"/>
        <v>22272.645667419663</v>
      </c>
      <c r="W43" s="67"/>
    </row>
    <row r="44" spans="3:23" x14ac:dyDescent="0.25">
      <c r="C44" s="8">
        <v>11</v>
      </c>
      <c r="D44" s="15" t="s">
        <v>47</v>
      </c>
      <c r="F44" s="21">
        <f t="shared" si="0"/>
        <v>25</v>
      </c>
      <c r="G44" s="73">
        <f t="shared" si="2"/>
        <v>886237.00775182247</v>
      </c>
      <c r="H44" s="22">
        <f t="shared" si="3"/>
        <v>8.330905017418754</v>
      </c>
      <c r="I44" s="21"/>
      <c r="J44" s="21"/>
      <c r="K44" s="23">
        <v>1</v>
      </c>
      <c r="L44" s="23">
        <v>1</v>
      </c>
      <c r="M44" s="21"/>
      <c r="N44" s="21"/>
      <c r="O44" s="21"/>
      <c r="Q44" s="15" t="s">
        <v>47</v>
      </c>
      <c r="R44" s="59">
        <v>14011791.336698055</v>
      </c>
      <c r="S44" s="59">
        <v>9336096.7680098936</v>
      </c>
      <c r="T44" s="24">
        <f t="shared" si="4"/>
        <v>6563798.4442620939</v>
      </c>
      <c r="U44" s="74">
        <v>0.13501892467867418</v>
      </c>
      <c r="V44" s="24">
        <f t="shared" si="1"/>
        <v>886237.00775182247</v>
      </c>
      <c r="W44" s="67"/>
    </row>
    <row r="45" spans="3:23" x14ac:dyDescent="0.25">
      <c r="C45" s="8">
        <v>12</v>
      </c>
      <c r="D45" s="15" t="s">
        <v>48</v>
      </c>
      <c r="F45" s="21">
        <f t="shared" si="0"/>
        <v>25</v>
      </c>
      <c r="G45" s="73">
        <f t="shared" si="2"/>
        <v>7878863.1542814467</v>
      </c>
      <c r="H45" s="22">
        <f t="shared" si="3"/>
        <v>74.06377753290576</v>
      </c>
      <c r="I45" s="21"/>
      <c r="J45" s="21"/>
      <c r="K45" s="23">
        <v>1</v>
      </c>
      <c r="L45" s="23">
        <v>1</v>
      </c>
      <c r="M45" s="21"/>
      <c r="N45" s="21"/>
      <c r="O45" s="21"/>
      <c r="Q45" s="15" t="s">
        <v>48</v>
      </c>
      <c r="R45" s="59">
        <v>124568242.49332783</v>
      </c>
      <c r="S45" s="59">
        <v>83000177.364380658</v>
      </c>
      <c r="T45" s="24">
        <f t="shared" si="4"/>
        <v>58353769.095939837</v>
      </c>
      <c r="U45" s="74">
        <v>0.13501892467867418</v>
      </c>
      <c r="V45" s="24">
        <f t="shared" si="1"/>
        <v>7878863.1542814467</v>
      </c>
      <c r="W45" s="67"/>
    </row>
    <row r="46" spans="3:23" x14ac:dyDescent="0.25">
      <c r="C46" s="8">
        <v>13</v>
      </c>
      <c r="D46" s="15" t="s">
        <v>49</v>
      </c>
      <c r="F46" s="21">
        <f t="shared" si="0"/>
        <v>24</v>
      </c>
      <c r="G46" s="73">
        <f t="shared" si="2"/>
        <v>3372023.736811813</v>
      </c>
      <c r="H46" s="22">
        <f t="shared" si="3"/>
        <v>33.01883086172068</v>
      </c>
      <c r="I46" s="21"/>
      <c r="J46" s="21"/>
      <c r="K46" s="23">
        <v>1</v>
      </c>
      <c r="L46" s="21"/>
      <c r="M46" s="23">
        <v>1</v>
      </c>
      <c r="N46" s="21"/>
      <c r="O46" s="21"/>
      <c r="Q46" s="15" t="s">
        <v>49</v>
      </c>
      <c r="R46" s="59">
        <v>53313157.28109505</v>
      </c>
      <c r="S46" s="59">
        <v>35522709.653891303</v>
      </c>
      <c r="T46" s="24">
        <f t="shared" si="4"/>
        <v>24974452.617192362</v>
      </c>
      <c r="U46" s="74">
        <v>0.13501892467867418</v>
      </c>
      <c r="V46" s="24">
        <f t="shared" si="1"/>
        <v>3372023.736811813</v>
      </c>
      <c r="W46" s="67"/>
    </row>
    <row r="47" spans="3:23" x14ac:dyDescent="0.25">
      <c r="C47" s="8">
        <v>14</v>
      </c>
      <c r="D47" s="15" t="s">
        <v>50</v>
      </c>
      <c r="F47" s="21">
        <f t="shared" si="0"/>
        <v>31</v>
      </c>
      <c r="G47" s="73">
        <f t="shared" si="2"/>
        <v>167520.41000186891</v>
      </c>
      <c r="H47" s="22">
        <f t="shared" si="3"/>
        <v>1.2699550331431029</v>
      </c>
      <c r="I47" s="21"/>
      <c r="J47" s="21"/>
      <c r="K47" s="23">
        <v>1</v>
      </c>
      <c r="L47" s="23">
        <v>1</v>
      </c>
      <c r="M47" s="23">
        <v>1</v>
      </c>
      <c r="N47" s="21"/>
      <c r="O47" s="21"/>
      <c r="Q47" s="15" t="s">
        <v>50</v>
      </c>
      <c r="R47" s="59">
        <v>2648570.3136441451</v>
      </c>
      <c r="S47" s="59">
        <v>1764749.9988311387</v>
      </c>
      <c r="T47" s="24">
        <f t="shared" si="4"/>
        <v>1240717.9986105179</v>
      </c>
      <c r="U47" s="74">
        <v>0.13501892467867418</v>
      </c>
      <c r="V47" s="24">
        <f t="shared" si="1"/>
        <v>167520.41000186891</v>
      </c>
      <c r="W47" s="67"/>
    </row>
    <row r="48" spans="3:23" x14ac:dyDescent="0.25">
      <c r="C48" s="8">
        <v>15</v>
      </c>
      <c r="D48" s="15" t="s">
        <v>51</v>
      </c>
      <c r="F48" s="21">
        <f t="shared" si="0"/>
        <v>29</v>
      </c>
      <c r="G48" s="73">
        <f t="shared" si="2"/>
        <v>961460.80903144623</v>
      </c>
      <c r="H48" s="22">
        <f t="shared" si="3"/>
        <v>7.7914071323086453</v>
      </c>
      <c r="I48" s="23">
        <v>1</v>
      </c>
      <c r="J48" s="23">
        <v>1</v>
      </c>
      <c r="K48" s="23">
        <v>1</v>
      </c>
      <c r="L48" s="21"/>
      <c r="M48" s="21"/>
      <c r="N48" s="21"/>
      <c r="O48" s="21"/>
      <c r="Q48" s="15" t="s">
        <v>51</v>
      </c>
      <c r="R48" s="59">
        <v>15498136.261923956</v>
      </c>
      <c r="S48" s="59">
        <v>9831520.6921156291</v>
      </c>
      <c r="T48" s="24">
        <f t="shared" si="4"/>
        <v>7120933.6862931326</v>
      </c>
      <c r="U48" s="74">
        <v>0.13501892467867418</v>
      </c>
      <c r="V48" s="24">
        <f t="shared" si="1"/>
        <v>961460.80903144623</v>
      </c>
      <c r="W48" s="67"/>
    </row>
    <row r="49" spans="2:23" x14ac:dyDescent="0.25">
      <c r="C49" s="8">
        <v>16</v>
      </c>
      <c r="D49" s="15" t="s">
        <v>52</v>
      </c>
      <c r="F49" s="21">
        <f t="shared" si="0"/>
        <v>18</v>
      </c>
      <c r="G49" s="73">
        <f t="shared" si="2"/>
        <v>48429.137047509874</v>
      </c>
      <c r="H49" s="22">
        <f t="shared" si="3"/>
        <v>0.63229032365895665</v>
      </c>
      <c r="I49" s="21"/>
      <c r="J49" s="21"/>
      <c r="K49" s="23">
        <v>1</v>
      </c>
      <c r="L49" s="21"/>
      <c r="M49" s="21"/>
      <c r="N49" s="21"/>
      <c r="O49" s="21"/>
      <c r="Q49" s="15" t="s">
        <v>52</v>
      </c>
      <c r="R49" s="59">
        <v>780646.86356357706</v>
      </c>
      <c r="S49" s="59">
        <v>495217.33856582409</v>
      </c>
      <c r="T49" s="24">
        <f t="shared" si="4"/>
        <v>358684.06716143183</v>
      </c>
      <c r="U49" s="74">
        <v>0.13501892467867418</v>
      </c>
      <c r="V49" s="24">
        <f t="shared" si="1"/>
        <v>48429.137047509874</v>
      </c>
      <c r="W49" s="67"/>
    </row>
    <row r="50" spans="2:23" x14ac:dyDescent="0.25">
      <c r="C50" s="8">
        <v>17</v>
      </c>
      <c r="D50" s="15" t="s">
        <v>53</v>
      </c>
      <c r="F50" s="21">
        <f t="shared" si="0"/>
        <v>18</v>
      </c>
      <c r="G50" s="73">
        <f t="shared" si="2"/>
        <v>1218918.6478943112</v>
      </c>
      <c r="H50" s="22">
        <f t="shared" si="3"/>
        <v>15.914189543269181</v>
      </c>
      <c r="I50" s="21"/>
      <c r="J50" s="21"/>
      <c r="K50" s="23">
        <v>1</v>
      </c>
      <c r="L50" s="21"/>
      <c r="M50" s="21"/>
      <c r="N50" s="21"/>
      <c r="O50" s="21"/>
      <c r="Q50" s="15" t="s">
        <v>53</v>
      </c>
      <c r="R50" s="59">
        <v>19648192.749839142</v>
      </c>
      <c r="S50" s="59">
        <v>12464183.455226591</v>
      </c>
      <c r="T50" s="24">
        <f t="shared" si="4"/>
        <v>9027761.4845116269</v>
      </c>
      <c r="U50" s="74">
        <v>0.13501892467867418</v>
      </c>
      <c r="V50" s="24">
        <f t="shared" si="1"/>
        <v>1218918.6478943112</v>
      </c>
      <c r="W50" s="67"/>
    </row>
    <row r="51" spans="2:23" x14ac:dyDescent="0.25">
      <c r="C51" s="8">
        <v>18</v>
      </c>
      <c r="D51" s="15" t="s">
        <v>54</v>
      </c>
      <c r="F51" s="21">
        <f t="shared" si="0"/>
        <v>18</v>
      </c>
      <c r="G51" s="73">
        <f t="shared" si="2"/>
        <v>158294.87456487538</v>
      </c>
      <c r="H51" s="22">
        <f t="shared" si="3"/>
        <v>2.0666962819095969</v>
      </c>
      <c r="I51" s="21"/>
      <c r="J51" s="21"/>
      <c r="K51" s="23">
        <v>1</v>
      </c>
      <c r="L51" s="21"/>
      <c r="M51" s="21"/>
      <c r="N51" s="21"/>
      <c r="O51" s="21"/>
      <c r="Q51" s="15" t="s">
        <v>54</v>
      </c>
      <c r="R51" s="59">
        <v>2551682.3948994791</v>
      </c>
      <c r="S51" s="59">
        <v>1618591.455732201</v>
      </c>
      <c r="T51" s="24">
        <f t="shared" si="4"/>
        <v>1172390.2774488439</v>
      </c>
      <c r="U51" s="74">
        <v>0.13501892467867418</v>
      </c>
      <c r="V51" s="24">
        <f t="shared" si="1"/>
        <v>158294.87456487538</v>
      </c>
      <c r="W51" s="67"/>
    </row>
    <row r="52" spans="2:23" x14ac:dyDescent="0.25">
      <c r="D52" s="26"/>
      <c r="F52" s="26"/>
      <c r="G52" s="26"/>
      <c r="H52" s="26"/>
      <c r="I52" s="27">
        <f>SUM(I34:I51)</f>
        <v>6</v>
      </c>
      <c r="J52" s="27">
        <f t="shared" ref="J52:O52" si="5">SUM(J34:J51)</f>
        <v>5</v>
      </c>
      <c r="K52" s="27">
        <f t="shared" si="5"/>
        <v>18</v>
      </c>
      <c r="L52" s="27">
        <f t="shared" si="5"/>
        <v>7</v>
      </c>
      <c r="M52" s="27">
        <f t="shared" si="5"/>
        <v>6</v>
      </c>
      <c r="N52" s="27">
        <f t="shared" si="5"/>
        <v>2</v>
      </c>
      <c r="O52" s="27">
        <f t="shared" si="5"/>
        <v>6</v>
      </c>
    </row>
    <row r="53" spans="2:23" x14ac:dyDescent="0.25">
      <c r="D53" s="26"/>
      <c r="F53" s="26"/>
      <c r="G53" s="26"/>
      <c r="H53" s="26"/>
      <c r="I53" s="21">
        <f>+SUMPRODUCT($H$34:$H$51,I34:I51)</f>
        <v>46.849085255306221</v>
      </c>
      <c r="J53" s="21">
        <f t="shared" ref="J53:O53" si="6">+SUMPRODUCT($H$34:$H$51,J34:J51)</f>
        <v>45.909816696797208</v>
      </c>
      <c r="K53" s="21">
        <f t="shared" si="6"/>
        <v>196.27738586769621</v>
      </c>
      <c r="L53" s="21">
        <f t="shared" si="6"/>
        <v>127.28412261060657</v>
      </c>
      <c r="M53" s="21">
        <f t="shared" si="6"/>
        <v>77.908270922002743</v>
      </c>
      <c r="N53" s="21">
        <f t="shared" si="6"/>
        <v>35.54195649970292</v>
      </c>
      <c r="O53" s="21">
        <f t="shared" si="6"/>
        <v>47.622188895645209</v>
      </c>
      <c r="R53" s="28" t="s">
        <v>162</v>
      </c>
      <c r="S53" s="28" t="s">
        <v>163</v>
      </c>
    </row>
    <row r="54" spans="2:23" x14ac:dyDescent="0.25">
      <c r="C54" s="5" t="s">
        <v>1</v>
      </c>
      <c r="D54" s="6" t="s">
        <v>55</v>
      </c>
      <c r="F54" s="6"/>
      <c r="G54" s="26"/>
      <c r="H54" s="26"/>
      <c r="R54" s="75"/>
      <c r="S54" s="28"/>
      <c r="U54" s="28"/>
    </row>
    <row r="55" spans="2:23" x14ac:dyDescent="0.25">
      <c r="C55" s="8">
        <v>1</v>
      </c>
      <c r="D55" s="15" t="s">
        <v>56</v>
      </c>
      <c r="F55" s="29">
        <v>4255177.5870632315</v>
      </c>
      <c r="G55" s="28" t="s">
        <v>167</v>
      </c>
      <c r="H55" s="26"/>
      <c r="I55" s="26"/>
      <c r="J55" s="26"/>
      <c r="K55" s="26"/>
      <c r="L55" s="26"/>
      <c r="M55" s="26"/>
      <c r="N55" s="26"/>
    </row>
    <row r="57" spans="2:23" x14ac:dyDescent="0.25">
      <c r="F57" s="68"/>
    </row>
    <row r="58" spans="2:23" ht="20.25" thickBot="1" x14ac:dyDescent="0.3">
      <c r="B58" s="3" t="s">
        <v>57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2:23" ht="15.75" thickTop="1" x14ac:dyDescent="0.25"/>
    <row r="60" spans="2:23" s="30" customFormat="1" x14ac:dyDescent="0.25">
      <c r="C60" s="5" t="s">
        <v>58</v>
      </c>
      <c r="D60" s="31" t="s">
        <v>59</v>
      </c>
      <c r="F60" s="6" t="s">
        <v>3</v>
      </c>
      <c r="G60" s="32"/>
    </row>
    <row r="61" spans="2:23" x14ac:dyDescent="0.25">
      <c r="C61" s="8">
        <v>19</v>
      </c>
      <c r="D61" s="9" t="s">
        <v>60</v>
      </c>
      <c r="E61" s="10" t="s">
        <v>61</v>
      </c>
      <c r="F61" s="33">
        <v>300</v>
      </c>
      <c r="G61" s="34"/>
    </row>
    <row r="62" spans="2:23" x14ac:dyDescent="0.25">
      <c r="C62" s="8">
        <v>20</v>
      </c>
      <c r="D62" s="9" t="s">
        <v>62</v>
      </c>
      <c r="E62" s="10" t="s">
        <v>63</v>
      </c>
      <c r="F62" s="35">
        <v>0.25</v>
      </c>
      <c r="G62" s="34"/>
    </row>
    <row r="63" spans="2:23" x14ac:dyDescent="0.25">
      <c r="C63" s="8">
        <v>21</v>
      </c>
      <c r="D63" s="9" t="s">
        <v>64</v>
      </c>
      <c r="E63" s="10" t="s">
        <v>65</v>
      </c>
      <c r="F63" s="33">
        <v>100</v>
      </c>
      <c r="G63" s="34"/>
    </row>
    <row r="64" spans="2:23" x14ac:dyDescent="0.25">
      <c r="C64" s="8">
        <v>22</v>
      </c>
      <c r="D64" s="9" t="s">
        <v>66</v>
      </c>
      <c r="E64" s="10" t="s">
        <v>67</v>
      </c>
      <c r="F64" s="36">
        <v>1.4999999999999999E-2</v>
      </c>
      <c r="G64" s="34"/>
    </row>
    <row r="65" spans="2:13" x14ac:dyDescent="0.25">
      <c r="C65" s="8">
        <v>23</v>
      </c>
      <c r="D65" s="37" t="s">
        <v>25</v>
      </c>
      <c r="E65" s="10" t="s">
        <v>68</v>
      </c>
      <c r="F65" s="38">
        <f t="array" ref="F65:F71">TRANSPOSE(I53:O53)</f>
        <v>46.849085255306221</v>
      </c>
    </row>
    <row r="66" spans="2:13" x14ac:dyDescent="0.25">
      <c r="C66" s="8">
        <v>24</v>
      </c>
      <c r="D66" s="37" t="s">
        <v>17</v>
      </c>
      <c r="E66" s="10" t="s">
        <v>68</v>
      </c>
      <c r="F66" s="38">
        <v>45.909816696797208</v>
      </c>
    </row>
    <row r="67" spans="2:13" x14ac:dyDescent="0.25">
      <c r="C67" s="8">
        <v>25</v>
      </c>
      <c r="D67" s="37" t="s">
        <v>11</v>
      </c>
      <c r="E67" s="10" t="s">
        <v>68</v>
      </c>
      <c r="F67" s="38">
        <v>196.27738586769621</v>
      </c>
    </row>
    <row r="68" spans="2:13" x14ac:dyDescent="0.25">
      <c r="C68" s="8">
        <v>26</v>
      </c>
      <c r="D68" s="37" t="s">
        <v>15</v>
      </c>
      <c r="E68" s="10" t="s">
        <v>68</v>
      </c>
      <c r="F68" s="38">
        <v>127.28412261060657</v>
      </c>
    </row>
    <row r="69" spans="2:13" x14ac:dyDescent="0.25">
      <c r="C69" s="8">
        <v>27</v>
      </c>
      <c r="D69" s="37" t="s">
        <v>32</v>
      </c>
      <c r="E69" s="10" t="s">
        <v>68</v>
      </c>
      <c r="F69" s="38">
        <v>77.908270922002743</v>
      </c>
    </row>
    <row r="70" spans="2:13" x14ac:dyDescent="0.25">
      <c r="C70" s="8">
        <v>28</v>
      </c>
      <c r="D70" s="37" t="s">
        <v>24</v>
      </c>
      <c r="E70" s="10" t="s">
        <v>68</v>
      </c>
      <c r="F70" s="38">
        <v>35.54195649970292</v>
      </c>
    </row>
    <row r="71" spans="2:13" x14ac:dyDescent="0.25">
      <c r="C71" s="8">
        <v>29</v>
      </c>
      <c r="D71" s="37" t="s">
        <v>13</v>
      </c>
      <c r="E71" s="10" t="s">
        <v>68</v>
      </c>
      <c r="F71" s="38">
        <v>47.622188895645209</v>
      </c>
    </row>
    <row r="72" spans="2:13" x14ac:dyDescent="0.25">
      <c r="C72" s="8">
        <v>30</v>
      </c>
      <c r="D72" s="9" t="s">
        <v>69</v>
      </c>
      <c r="E72" s="10" t="s">
        <v>70</v>
      </c>
      <c r="F72" s="39">
        <v>528.2939682074857</v>
      </c>
    </row>
    <row r="73" spans="2:13" x14ac:dyDescent="0.25">
      <c r="C73" s="8">
        <v>31</v>
      </c>
      <c r="D73" s="37" t="s">
        <v>9</v>
      </c>
      <c r="E73" s="10" t="s">
        <v>8</v>
      </c>
      <c r="F73" s="38">
        <f>+F121</f>
        <v>73.577664942630747</v>
      </c>
    </row>
    <row r="74" spans="2:13" x14ac:dyDescent="0.25">
      <c r="C74" s="8">
        <v>32</v>
      </c>
      <c r="D74" s="37" t="s">
        <v>149</v>
      </c>
      <c r="E74" s="10" t="s">
        <v>8</v>
      </c>
      <c r="F74" s="38">
        <f>$F$132</f>
        <v>61936.417356302001</v>
      </c>
    </row>
    <row r="75" spans="2:13" ht="15.75" thickBot="1" x14ac:dyDescent="0.3">
      <c r="C75" s="8">
        <v>33</v>
      </c>
      <c r="D75" s="37" t="s">
        <v>150</v>
      </c>
      <c r="E75" s="10" t="s">
        <v>8</v>
      </c>
      <c r="F75" s="38">
        <f>$F$132</f>
        <v>61936.417356302001</v>
      </c>
    </row>
    <row r="76" spans="2:13" x14ac:dyDescent="0.25">
      <c r="C76" s="12"/>
      <c r="D76" s="12"/>
      <c r="F76" s="12"/>
    </row>
    <row r="77" spans="2:13" ht="20.25" thickBot="1" x14ac:dyDescent="0.3">
      <c r="B77" s="3" t="s">
        <v>71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</row>
    <row r="78" spans="2:13" ht="15.75" thickTop="1" x14ac:dyDescent="0.25"/>
    <row r="79" spans="2:13" x14ac:dyDescent="0.25">
      <c r="C79" s="5" t="s">
        <v>1</v>
      </c>
      <c r="D79" s="6" t="s">
        <v>72</v>
      </c>
      <c r="F79" s="6" t="s">
        <v>73</v>
      </c>
    </row>
    <row r="80" spans="2:13" x14ac:dyDescent="0.25">
      <c r="C80" s="8">
        <v>1</v>
      </c>
      <c r="D80" s="21" t="s">
        <v>72</v>
      </c>
      <c r="F80" s="15">
        <f>40*4.5</f>
        <v>180</v>
      </c>
    </row>
    <row r="81" spans="3:9" ht="15.75" thickBot="1" x14ac:dyDescent="0.3">
      <c r="C81" s="8">
        <v>2</v>
      </c>
      <c r="D81" s="21" t="s">
        <v>74</v>
      </c>
      <c r="F81" s="40">
        <v>0.14953309408500001</v>
      </c>
      <c r="G81" s="28" t="s">
        <v>75</v>
      </c>
    </row>
    <row r="82" spans="3:9" x14ac:dyDescent="0.25">
      <c r="C82" s="12"/>
      <c r="D82" s="12"/>
      <c r="F82" s="12"/>
    </row>
    <row r="83" spans="3:9" x14ac:dyDescent="0.25">
      <c r="C83" s="41" t="s">
        <v>1</v>
      </c>
      <c r="D83" s="41" t="s">
        <v>76</v>
      </c>
      <c r="F83" s="42" t="s">
        <v>77</v>
      </c>
      <c r="H83" s="6" t="s">
        <v>78</v>
      </c>
    </row>
    <row r="84" spans="3:9" x14ac:dyDescent="0.25">
      <c r="C84" s="43">
        <v>6</v>
      </c>
      <c r="D84" s="9" t="s">
        <v>120</v>
      </c>
      <c r="E84" s="44" t="s">
        <v>79</v>
      </c>
      <c r="F84" s="45">
        <v>60000000</v>
      </c>
      <c r="G84" s="44" t="s">
        <v>80</v>
      </c>
      <c r="H84" s="9">
        <f t="shared" ref="H84:H101" si="7">F84/12/$F$80*(1+$F$81)</f>
        <v>31931.474835694444</v>
      </c>
      <c r="I84" s="67"/>
    </row>
    <row r="85" spans="3:9" x14ac:dyDescent="0.25">
      <c r="C85" s="43">
        <v>7</v>
      </c>
      <c r="D85" s="9" t="s">
        <v>121</v>
      </c>
      <c r="E85" s="44" t="s">
        <v>79</v>
      </c>
      <c r="F85" s="45">
        <v>30000000</v>
      </c>
      <c r="G85" s="44" t="s">
        <v>80</v>
      </c>
      <c r="H85" s="9">
        <f t="shared" si="7"/>
        <v>15965.737417847222</v>
      </c>
      <c r="I85" s="67"/>
    </row>
    <row r="86" spans="3:9" x14ac:dyDescent="0.25">
      <c r="C86" s="43">
        <v>8</v>
      </c>
      <c r="D86" s="9" t="s">
        <v>122</v>
      </c>
      <c r="E86" s="44" t="s">
        <v>79</v>
      </c>
      <c r="F86" s="45">
        <v>80000000</v>
      </c>
      <c r="G86" s="44" t="s">
        <v>80</v>
      </c>
      <c r="H86" s="9">
        <f t="shared" si="7"/>
        <v>42575.299780925925</v>
      </c>
      <c r="I86" s="67"/>
    </row>
    <row r="87" spans="3:9" x14ac:dyDescent="0.25">
      <c r="C87" s="43">
        <v>9</v>
      </c>
      <c r="D87" s="9" t="s">
        <v>99</v>
      </c>
      <c r="E87" s="44" t="s">
        <v>79</v>
      </c>
      <c r="F87" s="45">
        <v>50000000</v>
      </c>
      <c r="G87" s="44" t="s">
        <v>80</v>
      </c>
      <c r="H87" s="9">
        <f t="shared" si="7"/>
        <v>26609.562363078701</v>
      </c>
      <c r="I87" s="67"/>
    </row>
    <row r="88" spans="3:9" x14ac:dyDescent="0.25">
      <c r="C88" s="43">
        <v>10</v>
      </c>
      <c r="D88" s="9" t="s">
        <v>123</v>
      </c>
      <c r="E88" s="44" t="s">
        <v>79</v>
      </c>
      <c r="F88" s="45">
        <v>30000000</v>
      </c>
      <c r="G88" s="44" t="s">
        <v>80</v>
      </c>
      <c r="H88" s="9">
        <f t="shared" si="7"/>
        <v>15965.737417847222</v>
      </c>
      <c r="I88" s="67"/>
    </row>
    <row r="89" spans="3:9" x14ac:dyDescent="0.25">
      <c r="C89" s="43">
        <v>11</v>
      </c>
      <c r="D89" s="9" t="s">
        <v>124</v>
      </c>
      <c r="E89" s="44" t="s">
        <v>79</v>
      </c>
      <c r="F89" s="45">
        <v>20000000</v>
      </c>
      <c r="G89" s="44" t="s">
        <v>80</v>
      </c>
      <c r="H89" s="9">
        <f t="shared" si="7"/>
        <v>10643.824945231481</v>
      </c>
      <c r="I89" s="67"/>
    </row>
    <row r="90" spans="3:9" x14ac:dyDescent="0.25">
      <c r="C90" s="43">
        <v>12</v>
      </c>
      <c r="D90" s="9" t="s">
        <v>125</v>
      </c>
      <c r="E90" s="44" t="s">
        <v>79</v>
      </c>
      <c r="F90" s="45">
        <v>80000000</v>
      </c>
      <c r="G90" s="44" t="s">
        <v>80</v>
      </c>
      <c r="H90" s="9">
        <f t="shared" si="7"/>
        <v>42575.299780925925</v>
      </c>
      <c r="I90" s="67"/>
    </row>
    <row r="91" spans="3:9" x14ac:dyDescent="0.25">
      <c r="C91" s="43">
        <v>16</v>
      </c>
      <c r="D91" s="9" t="s">
        <v>126</v>
      </c>
      <c r="E91" s="44" t="s">
        <v>79</v>
      </c>
      <c r="F91" s="45">
        <v>80000000</v>
      </c>
      <c r="G91" s="44" t="s">
        <v>80</v>
      </c>
      <c r="H91" s="9">
        <f t="shared" si="7"/>
        <v>42575.299780925925</v>
      </c>
      <c r="I91" s="67"/>
    </row>
    <row r="92" spans="3:9" x14ac:dyDescent="0.25">
      <c r="C92" s="43">
        <v>19</v>
      </c>
      <c r="D92" s="9" t="s">
        <v>127</v>
      </c>
      <c r="E92" s="44" t="s">
        <v>79</v>
      </c>
      <c r="F92" s="45">
        <v>80000000</v>
      </c>
      <c r="G92" s="44" t="s">
        <v>80</v>
      </c>
      <c r="H92" s="9">
        <f t="shared" si="7"/>
        <v>42575.299780925925</v>
      </c>
      <c r="I92" s="67"/>
    </row>
    <row r="93" spans="3:9" x14ac:dyDescent="0.25">
      <c r="C93" s="43">
        <v>20</v>
      </c>
      <c r="D93" s="9" t="s">
        <v>101</v>
      </c>
      <c r="E93" s="44" t="s">
        <v>79</v>
      </c>
      <c r="F93" s="45">
        <v>80000000</v>
      </c>
      <c r="G93" s="44" t="s">
        <v>80</v>
      </c>
      <c r="H93" s="9">
        <f t="shared" si="7"/>
        <v>42575.299780925925</v>
      </c>
      <c r="I93" s="67"/>
    </row>
    <row r="94" spans="3:9" x14ac:dyDescent="0.25">
      <c r="C94" s="43">
        <v>22</v>
      </c>
      <c r="D94" s="9" t="s">
        <v>128</v>
      </c>
      <c r="E94" s="44" t="s">
        <v>79</v>
      </c>
      <c r="F94" s="45">
        <v>80000000</v>
      </c>
      <c r="G94" s="44" t="s">
        <v>80</v>
      </c>
      <c r="H94" s="9">
        <f t="shared" si="7"/>
        <v>42575.299780925925</v>
      </c>
      <c r="I94" s="67"/>
    </row>
    <row r="95" spans="3:9" x14ac:dyDescent="0.25">
      <c r="C95" s="43">
        <v>23</v>
      </c>
      <c r="D95" s="9" t="s">
        <v>129</v>
      </c>
      <c r="E95" s="44" t="s">
        <v>79</v>
      </c>
      <c r="F95" s="45">
        <v>40000000</v>
      </c>
      <c r="G95" s="44" t="s">
        <v>80</v>
      </c>
      <c r="H95" s="9">
        <f t="shared" si="7"/>
        <v>21287.649890462963</v>
      </c>
      <c r="I95" s="67"/>
    </row>
    <row r="96" spans="3:9" x14ac:dyDescent="0.25">
      <c r="C96" s="43">
        <v>24</v>
      </c>
      <c r="D96" s="9" t="s">
        <v>130</v>
      </c>
      <c r="E96" s="44" t="s">
        <v>79</v>
      </c>
      <c r="F96" s="45">
        <v>100000000</v>
      </c>
      <c r="G96" s="44" t="s">
        <v>80</v>
      </c>
      <c r="H96" s="9">
        <f t="shared" si="7"/>
        <v>53219.124726157403</v>
      </c>
      <c r="I96" s="67"/>
    </row>
    <row r="97" spans="2:13" x14ac:dyDescent="0.25">
      <c r="C97" s="43">
        <v>25</v>
      </c>
      <c r="D97" s="9" t="s">
        <v>131</v>
      </c>
      <c r="E97" s="44" t="s">
        <v>79</v>
      </c>
      <c r="F97" s="45">
        <v>60000000</v>
      </c>
      <c r="G97" s="44" t="s">
        <v>80</v>
      </c>
      <c r="H97" s="9">
        <f t="shared" si="7"/>
        <v>31931.474835694444</v>
      </c>
      <c r="I97" s="67"/>
    </row>
    <row r="98" spans="2:13" x14ac:dyDescent="0.25">
      <c r="C98" s="43">
        <v>26</v>
      </c>
      <c r="D98" s="9" t="s">
        <v>132</v>
      </c>
      <c r="E98" s="44" t="s">
        <v>79</v>
      </c>
      <c r="F98" s="45">
        <v>30000000</v>
      </c>
      <c r="G98" s="44" t="s">
        <v>80</v>
      </c>
      <c r="H98" s="9">
        <f t="shared" si="7"/>
        <v>15965.737417847222</v>
      </c>
      <c r="I98" s="67"/>
    </row>
    <row r="99" spans="2:13" x14ac:dyDescent="0.25">
      <c r="C99" s="43">
        <v>31</v>
      </c>
      <c r="D99" s="9" t="s">
        <v>133</v>
      </c>
      <c r="E99" s="44" t="s">
        <v>79</v>
      </c>
      <c r="F99" s="45">
        <v>100000000</v>
      </c>
      <c r="G99" s="44" t="s">
        <v>80</v>
      </c>
      <c r="H99" s="9">
        <f t="shared" si="7"/>
        <v>53219.124726157403</v>
      </c>
      <c r="I99" s="67"/>
    </row>
    <row r="100" spans="2:13" x14ac:dyDescent="0.25">
      <c r="C100" s="43">
        <v>32</v>
      </c>
      <c r="D100" s="9" t="s">
        <v>134</v>
      </c>
      <c r="E100" s="44" t="s">
        <v>79</v>
      </c>
      <c r="F100" s="45">
        <v>50000000</v>
      </c>
      <c r="G100" s="44" t="s">
        <v>80</v>
      </c>
      <c r="H100" s="9">
        <f t="shared" si="7"/>
        <v>26609.562363078701</v>
      </c>
      <c r="I100" s="67"/>
    </row>
    <row r="101" spans="2:13" ht="15.75" thickBot="1" x14ac:dyDescent="0.3">
      <c r="C101" s="43">
        <v>33</v>
      </c>
      <c r="D101" s="9" t="s">
        <v>135</v>
      </c>
      <c r="E101" s="44" t="s">
        <v>79</v>
      </c>
      <c r="F101" s="45">
        <v>40000000</v>
      </c>
      <c r="G101" s="44" t="s">
        <v>80</v>
      </c>
      <c r="H101" s="9">
        <f t="shared" si="7"/>
        <v>21287.649890462963</v>
      </c>
      <c r="I101" s="67"/>
    </row>
    <row r="102" spans="2:13" x14ac:dyDescent="0.25">
      <c r="C102" s="12"/>
      <c r="D102" s="12"/>
      <c r="F102" s="12"/>
      <c r="H102" s="12"/>
    </row>
    <row r="103" spans="2:13" x14ac:dyDescent="0.25">
      <c r="F103" s="28" t="s">
        <v>144</v>
      </c>
    </row>
    <row r="104" spans="2:13" ht="20.25" thickBot="1" x14ac:dyDescent="0.3">
      <c r="B104" s="3" t="s">
        <v>81</v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</row>
    <row r="105" spans="2:13" ht="15.75" thickTop="1" x14ac:dyDescent="0.25">
      <c r="B105" s="26"/>
      <c r="C105" s="26"/>
      <c r="D105" s="26"/>
      <c r="E105" s="26"/>
      <c r="F105" s="26"/>
    </row>
    <row r="106" spans="2:13" x14ac:dyDescent="0.25">
      <c r="C106" s="5" t="s">
        <v>58</v>
      </c>
      <c r="D106" s="31" t="s">
        <v>59</v>
      </c>
      <c r="E106" s="30"/>
      <c r="F106" s="6" t="s">
        <v>82</v>
      </c>
      <c r="G106" s="6" t="s">
        <v>83</v>
      </c>
      <c r="H106" s="6" t="s">
        <v>84</v>
      </c>
      <c r="I106" s="6" t="s">
        <v>85</v>
      </c>
      <c r="J106" s="6" t="s">
        <v>86</v>
      </c>
      <c r="K106" s="6" t="s">
        <v>87</v>
      </c>
    </row>
    <row r="107" spans="2:13" x14ac:dyDescent="0.25">
      <c r="C107" s="8">
        <v>1</v>
      </c>
      <c r="D107" s="9" t="s">
        <v>88</v>
      </c>
      <c r="E107" s="10" t="s">
        <v>89</v>
      </c>
      <c r="F107" s="46">
        <v>80</v>
      </c>
      <c r="G107" s="46">
        <v>20</v>
      </c>
      <c r="H107" s="46">
        <v>2</v>
      </c>
      <c r="I107" s="46">
        <v>400</v>
      </c>
      <c r="J107" s="46">
        <v>3</v>
      </c>
      <c r="K107" s="46">
        <v>10</v>
      </c>
    </row>
    <row r="108" spans="2:13" x14ac:dyDescent="0.25">
      <c r="C108" s="8">
        <v>2</v>
      </c>
      <c r="D108" s="9" t="s">
        <v>90</v>
      </c>
      <c r="E108" s="10" t="s">
        <v>89</v>
      </c>
      <c r="F108" s="47">
        <f>SUMPRODUCT(F110:F111,F114:F115)/3600</f>
        <v>3.4657402481708774</v>
      </c>
      <c r="G108" s="47">
        <f t="shared" ref="G108:K108" si="8">SUMPRODUCT(G110:G111,G114:G115)/3600</f>
        <v>233.93746675153417</v>
      </c>
      <c r="H108" s="47">
        <f t="shared" si="8"/>
        <v>38.436034524447017</v>
      </c>
      <c r="I108" s="47">
        <f t="shared" si="8"/>
        <v>192.18017262223506</v>
      </c>
      <c r="J108" s="47">
        <f t="shared" si="8"/>
        <v>19.218017262223508</v>
      </c>
      <c r="K108" s="48">
        <f t="shared" si="8"/>
        <v>19.218017262223508</v>
      </c>
    </row>
    <row r="109" spans="2:13" x14ac:dyDescent="0.25">
      <c r="C109" s="8">
        <v>3</v>
      </c>
      <c r="D109" s="9" t="s">
        <v>91</v>
      </c>
      <c r="E109" s="10" t="s">
        <v>92</v>
      </c>
      <c r="F109" s="47">
        <f>G154</f>
        <v>29.30493727023574</v>
      </c>
      <c r="G109" s="47">
        <f>F109</f>
        <v>29.30493727023574</v>
      </c>
      <c r="H109" s="23">
        <v>2</v>
      </c>
      <c r="I109" s="23">
        <v>10</v>
      </c>
      <c r="J109" s="23">
        <v>1</v>
      </c>
      <c r="K109" s="23">
        <v>1</v>
      </c>
      <c r="L109" s="49" t="s">
        <v>93</v>
      </c>
    </row>
    <row r="110" spans="2:13" x14ac:dyDescent="0.25">
      <c r="C110" s="8">
        <v>4</v>
      </c>
      <c r="D110" s="9" t="s">
        <v>94</v>
      </c>
      <c r="E110" s="10" t="s">
        <v>92</v>
      </c>
      <c r="F110" s="47">
        <f>F$109*F112</f>
        <v>0</v>
      </c>
      <c r="G110" s="47">
        <f>G$109*G112</f>
        <v>29.30493727023574</v>
      </c>
      <c r="H110" s="47">
        <f t="shared" ref="H110:K110" si="9">H$109*H112</f>
        <v>2</v>
      </c>
      <c r="I110" s="47">
        <f t="shared" si="9"/>
        <v>10</v>
      </c>
      <c r="J110" s="47">
        <f t="shared" si="9"/>
        <v>1</v>
      </c>
      <c r="K110" s="48">
        <f t="shared" si="9"/>
        <v>1</v>
      </c>
    </row>
    <row r="111" spans="2:13" x14ac:dyDescent="0.25">
      <c r="C111" s="8">
        <v>5</v>
      </c>
      <c r="D111" s="9" t="s">
        <v>95</v>
      </c>
      <c r="E111" s="10" t="s">
        <v>92</v>
      </c>
      <c r="F111" s="47">
        <f>+F109*F113</f>
        <v>0.29304937270235742</v>
      </c>
      <c r="G111" s="47">
        <f t="shared" ref="G111:K111" si="10">+G109*G113</f>
        <v>1.465246863511787</v>
      </c>
      <c r="H111" s="47">
        <f t="shared" si="10"/>
        <v>2</v>
      </c>
      <c r="I111" s="47">
        <f t="shared" si="10"/>
        <v>10</v>
      </c>
      <c r="J111" s="47">
        <f t="shared" si="10"/>
        <v>1</v>
      </c>
      <c r="K111" s="48">
        <f t="shared" si="10"/>
        <v>1</v>
      </c>
    </row>
    <row r="112" spans="2:13" x14ac:dyDescent="0.25">
      <c r="C112" s="8">
        <v>6</v>
      </c>
      <c r="D112" s="9" t="s">
        <v>96</v>
      </c>
      <c r="E112" s="10" t="s">
        <v>97</v>
      </c>
      <c r="F112" s="25">
        <v>0</v>
      </c>
      <c r="G112" s="25">
        <v>1</v>
      </c>
      <c r="H112" s="25">
        <v>1</v>
      </c>
      <c r="I112" s="25">
        <v>1</v>
      </c>
      <c r="J112" s="25">
        <v>1</v>
      </c>
      <c r="K112" s="25">
        <v>1</v>
      </c>
    </row>
    <row r="113" spans="2:13" x14ac:dyDescent="0.25">
      <c r="C113" s="8">
        <v>7</v>
      </c>
      <c r="D113" s="9" t="s">
        <v>98</v>
      </c>
      <c r="E113" s="10" t="s">
        <v>97</v>
      </c>
      <c r="F113" s="25">
        <v>0.01</v>
      </c>
      <c r="G113" s="25">
        <v>0.05</v>
      </c>
      <c r="H113" s="25">
        <v>1</v>
      </c>
      <c r="I113" s="25">
        <v>1</v>
      </c>
      <c r="J113" s="25">
        <v>1</v>
      </c>
      <c r="K113" s="25">
        <v>1</v>
      </c>
    </row>
    <row r="114" spans="2:13" x14ac:dyDescent="0.25">
      <c r="C114" s="8">
        <v>8</v>
      </c>
      <c r="D114" s="9" t="s">
        <v>99</v>
      </c>
      <c r="E114" s="10" t="s">
        <v>100</v>
      </c>
      <c r="F114" s="17">
        <f>VLOOKUP($D114,$D$84:$H$101,5,FALSE)</f>
        <v>26609.562363078701</v>
      </c>
      <c r="G114" s="17">
        <f t="shared" ref="G114:K115" si="11">VLOOKUP($D114,$D$84:$H$101,5,FALSE)</f>
        <v>26609.562363078701</v>
      </c>
      <c r="H114" s="17">
        <f t="shared" si="11"/>
        <v>26609.562363078701</v>
      </c>
      <c r="I114" s="17">
        <f t="shared" si="11"/>
        <v>26609.562363078701</v>
      </c>
      <c r="J114" s="17">
        <f t="shared" si="11"/>
        <v>26609.562363078701</v>
      </c>
      <c r="K114" s="21">
        <f t="shared" si="11"/>
        <v>26609.562363078701</v>
      </c>
    </row>
    <row r="115" spans="2:13" x14ac:dyDescent="0.25">
      <c r="C115" s="8">
        <v>9</v>
      </c>
      <c r="D115" s="9" t="s">
        <v>101</v>
      </c>
      <c r="E115" s="10" t="s">
        <v>100</v>
      </c>
      <c r="F115" s="17">
        <f>VLOOKUP($D115,$D$84:$H$101,5,FALSE)</f>
        <v>42575.299780925925</v>
      </c>
      <c r="G115" s="17">
        <f t="shared" si="11"/>
        <v>42575.299780925925</v>
      </c>
      <c r="H115" s="17">
        <f t="shared" si="11"/>
        <v>42575.299780925925</v>
      </c>
      <c r="I115" s="17">
        <f t="shared" si="11"/>
        <v>42575.299780925925</v>
      </c>
      <c r="J115" s="17">
        <f t="shared" si="11"/>
        <v>42575.299780925925</v>
      </c>
      <c r="K115" s="21">
        <f t="shared" si="11"/>
        <v>42575.299780925925</v>
      </c>
    </row>
    <row r="116" spans="2:13" x14ac:dyDescent="0.25">
      <c r="C116" s="8">
        <v>10</v>
      </c>
      <c r="D116" s="9" t="s">
        <v>81</v>
      </c>
      <c r="E116" s="10" t="s">
        <v>89</v>
      </c>
      <c r="F116" s="17">
        <f>SUM(F107:F108)</f>
        <v>83.465740248170874</v>
      </c>
      <c r="G116" s="17">
        <f>SUM(G107:G108)</f>
        <v>253.93746675153417</v>
      </c>
      <c r="H116" s="17">
        <f>SUM(H107:H108)</f>
        <v>40.436034524447017</v>
      </c>
      <c r="I116" s="17">
        <f t="shared" ref="I116:J116" si="12">SUM(I107:I108)</f>
        <v>592.18017262223509</v>
      </c>
      <c r="J116" s="17">
        <f t="shared" si="12"/>
        <v>22.218017262223508</v>
      </c>
      <c r="K116" s="21">
        <f>SUM(K107:K108)</f>
        <v>29.218017262223508</v>
      </c>
    </row>
    <row r="117" spans="2:13" x14ac:dyDescent="0.25">
      <c r="C117" s="8">
        <v>11</v>
      </c>
      <c r="D117" s="9" t="s">
        <v>102</v>
      </c>
      <c r="E117" s="10" t="s">
        <v>103</v>
      </c>
      <c r="F117" s="50">
        <f>G153</f>
        <v>2.17599092729301</v>
      </c>
      <c r="G117" s="50">
        <f>G152</f>
        <v>0.61427564116268563</v>
      </c>
      <c r="H117" s="50">
        <f>G148</f>
        <v>1.3993990302917005</v>
      </c>
      <c r="I117" s="50">
        <f>G151</f>
        <v>2.0778484770340697E-2</v>
      </c>
      <c r="J117" s="50">
        <f>G150</f>
        <v>1.0015028876120209</v>
      </c>
      <c r="K117" s="50">
        <f>G149</f>
        <v>2.052048867856711</v>
      </c>
    </row>
    <row r="118" spans="2:13" x14ac:dyDescent="0.25">
      <c r="C118" s="8"/>
      <c r="D118" s="9" t="s">
        <v>104</v>
      </c>
      <c r="E118" s="10"/>
      <c r="F118" s="51">
        <f>F153</f>
        <v>0.12280131186945417</v>
      </c>
      <c r="G118" s="51">
        <f>F152</f>
        <v>1.3436927277833804E-2</v>
      </c>
      <c r="H118" s="51">
        <f>F148</f>
        <v>0.24138749756015201</v>
      </c>
      <c r="I118" s="51">
        <f>F151</f>
        <v>1.1887028567345739E-3</v>
      </c>
      <c r="J118" s="51">
        <f>F150</f>
        <v>4.6139331569458666E-2</v>
      </c>
      <c r="K118" s="51">
        <f>F149</f>
        <v>0.57504622886636669</v>
      </c>
    </row>
    <row r="119" spans="2:13" x14ac:dyDescent="0.25">
      <c r="C119" s="8"/>
      <c r="D119" s="9" t="s">
        <v>105</v>
      </c>
      <c r="E119" s="10"/>
      <c r="F119" s="52">
        <f>F117*F118</f>
        <v>0.26721454048761167</v>
      </c>
      <c r="G119" s="52">
        <f t="shared" ref="G119:K119" si="13">G117*G118</f>
        <v>8.2539771188477398E-3</v>
      </c>
      <c r="H119" s="52">
        <f t="shared" si="13"/>
        <v>0.33779743001021695</v>
      </c>
      <c r="I119" s="52">
        <f t="shared" si="13"/>
        <v>2.4699444205119826E-5</v>
      </c>
      <c r="J119" s="52">
        <f t="shared" si="13"/>
        <v>4.6208673799301332E-2</v>
      </c>
      <c r="K119" s="52">
        <f t="shared" si="13"/>
        <v>1.180022962910499</v>
      </c>
    </row>
    <row r="121" spans="2:13" ht="15.75" thickBot="1" x14ac:dyDescent="0.3">
      <c r="C121" s="8">
        <v>12</v>
      </c>
      <c r="D121" s="9" t="s">
        <v>81</v>
      </c>
      <c r="E121" s="10" t="s">
        <v>89</v>
      </c>
      <c r="F121" s="53">
        <f>SUMPRODUCT(F116:K116,F119:K119)</f>
        <v>73.577664942630747</v>
      </c>
    </row>
    <row r="122" spans="2:13" x14ac:dyDescent="0.25">
      <c r="C122" s="12"/>
      <c r="D122" s="12"/>
      <c r="F122" s="12"/>
    </row>
    <row r="123" spans="2:13" ht="20.25" thickBot="1" x14ac:dyDescent="0.3">
      <c r="B123" s="3" t="s">
        <v>151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</row>
    <row r="124" spans="2:13" ht="15.75" thickTop="1" x14ac:dyDescent="0.25">
      <c r="E124" s="71"/>
    </row>
    <row r="125" spans="2:13" x14ac:dyDescent="0.25">
      <c r="C125" s="5" t="s">
        <v>58</v>
      </c>
      <c r="D125" s="31" t="s">
        <v>59</v>
      </c>
      <c r="E125" s="30"/>
      <c r="F125" s="6" t="s">
        <v>3</v>
      </c>
      <c r="G125" s="26"/>
    </row>
    <row r="126" spans="2:13" x14ac:dyDescent="0.25">
      <c r="C126" s="8">
        <v>1</v>
      </c>
      <c r="D126" s="9" t="s">
        <v>152</v>
      </c>
      <c r="E126" s="10" t="s">
        <v>153</v>
      </c>
      <c r="F126" s="48">
        <v>2.645</v>
      </c>
      <c r="H126" s="49" t="s">
        <v>154</v>
      </c>
    </row>
    <row r="127" spans="2:13" x14ac:dyDescent="0.25">
      <c r="C127" s="8">
        <v>2</v>
      </c>
      <c r="D127" s="9" t="s">
        <v>155</v>
      </c>
      <c r="E127" s="10" t="s">
        <v>97</v>
      </c>
      <c r="F127" s="54">
        <v>0.1</v>
      </c>
      <c r="G127" s="26"/>
    </row>
    <row r="128" spans="2:13" x14ac:dyDescent="0.25">
      <c r="C128" s="8">
        <v>3</v>
      </c>
      <c r="D128" s="9" t="s">
        <v>165</v>
      </c>
      <c r="E128" s="10" t="s">
        <v>97</v>
      </c>
      <c r="F128" s="70">
        <v>7.6E-3</v>
      </c>
      <c r="G128" s="26"/>
    </row>
    <row r="129" spans="2:13" x14ac:dyDescent="0.25">
      <c r="C129" s="8">
        <v>4</v>
      </c>
      <c r="D129" s="9" t="s">
        <v>132</v>
      </c>
      <c r="E129" s="10" t="s">
        <v>100</v>
      </c>
      <c r="F129" s="9">
        <f>VLOOKUP(D129,$D$84:$H$101,5,FALSE)</f>
        <v>15965.737417847222</v>
      </c>
      <c r="G129" s="26"/>
    </row>
    <row r="130" spans="2:13" ht="15.75" thickBot="1" x14ac:dyDescent="0.3">
      <c r="C130" s="8">
        <v>5</v>
      </c>
      <c r="D130" s="9" t="s">
        <v>134</v>
      </c>
      <c r="E130" s="10" t="s">
        <v>100</v>
      </c>
      <c r="F130" s="9">
        <f>VLOOKUP(D130,$D$84:$H$101,5,FALSE)</f>
        <v>26609.562363078701</v>
      </c>
      <c r="G130" s="26"/>
    </row>
    <row r="131" spans="2:13" x14ac:dyDescent="0.25">
      <c r="C131" s="12"/>
      <c r="D131" s="12"/>
      <c r="F131" s="12"/>
      <c r="G131" s="26"/>
    </row>
    <row r="132" spans="2:13" ht="15.75" thickBot="1" x14ac:dyDescent="0.3">
      <c r="C132" s="8">
        <v>6</v>
      </c>
      <c r="D132" s="9" t="s">
        <v>156</v>
      </c>
      <c r="E132" s="10" t="s">
        <v>157</v>
      </c>
      <c r="F132" s="55">
        <f>+F126*(1+F127)*(F129+F130*0.2)</f>
        <v>61936.417356302001</v>
      </c>
    </row>
    <row r="133" spans="2:13" x14ac:dyDescent="0.25">
      <c r="C133" s="12"/>
      <c r="D133" s="12"/>
      <c r="F133" s="12"/>
    </row>
    <row r="134" spans="2:13" ht="20.25" thickBot="1" x14ac:dyDescent="0.3">
      <c r="B134" s="3" t="s">
        <v>106</v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</row>
    <row r="135" spans="2:13" ht="15.75" thickTop="1" x14ac:dyDescent="0.25">
      <c r="B135" s="26"/>
      <c r="C135" s="26"/>
      <c r="D135" s="26"/>
      <c r="E135" s="26"/>
      <c r="F135" s="26"/>
    </row>
    <row r="136" spans="2:13" x14ac:dyDescent="0.25">
      <c r="C136" s="5" t="s">
        <v>58</v>
      </c>
      <c r="D136" s="31" t="s">
        <v>59</v>
      </c>
      <c r="E136" s="30"/>
      <c r="F136" s="6" t="s">
        <v>3</v>
      </c>
      <c r="G136" s="26"/>
    </row>
    <row r="137" spans="2:13" x14ac:dyDescent="0.25">
      <c r="C137" s="8">
        <v>1</v>
      </c>
      <c r="D137" s="9" t="s">
        <v>107</v>
      </c>
      <c r="E137" s="10" t="s">
        <v>92</v>
      </c>
      <c r="F137" s="23">
        <v>10</v>
      </c>
      <c r="G137" s="49"/>
    </row>
    <row r="138" spans="2:13" x14ac:dyDescent="0.25">
      <c r="C138" s="8">
        <v>2</v>
      </c>
      <c r="D138" s="9" t="s">
        <v>108</v>
      </c>
      <c r="E138" s="10" t="s">
        <v>97</v>
      </c>
      <c r="F138" s="54">
        <v>1</v>
      </c>
      <c r="G138" s="26"/>
    </row>
    <row r="139" spans="2:13" x14ac:dyDescent="0.25">
      <c r="C139" s="8">
        <v>3</v>
      </c>
      <c r="D139" s="9" t="s">
        <v>99</v>
      </c>
      <c r="E139" s="10" t="s">
        <v>100</v>
      </c>
      <c r="F139" s="9">
        <f>VLOOKUP(D139,$D$84:$H$101,5,FALSE)*0</f>
        <v>0</v>
      </c>
      <c r="G139" s="26"/>
    </row>
    <row r="140" spans="2:13" ht="15.75" thickBot="1" x14ac:dyDescent="0.3">
      <c r="C140" s="8">
        <v>4</v>
      </c>
      <c r="D140" s="9" t="s">
        <v>101</v>
      </c>
      <c r="E140" s="10" t="s">
        <v>100</v>
      </c>
      <c r="F140" s="9">
        <f>VLOOKUP(D140,$D$84:$H$101,5,FALSE)</f>
        <v>42575.299780925925</v>
      </c>
      <c r="G140" s="26"/>
    </row>
    <row r="141" spans="2:13" x14ac:dyDescent="0.25">
      <c r="C141" s="12"/>
      <c r="D141" s="12"/>
      <c r="F141" s="12"/>
      <c r="G141" s="26"/>
    </row>
    <row r="142" spans="2:13" ht="15.75" thickBot="1" x14ac:dyDescent="0.3">
      <c r="C142" s="8">
        <v>5</v>
      </c>
      <c r="D142" s="9" t="s">
        <v>106</v>
      </c>
      <c r="E142" s="10" t="s">
        <v>109</v>
      </c>
      <c r="F142" s="55">
        <f>F137*F139/3600+F137*F138*F140/3600</f>
        <v>118.26472161368312</v>
      </c>
    </row>
    <row r="143" spans="2:13" x14ac:dyDescent="0.25">
      <c r="C143" s="12"/>
      <c r="D143" s="12"/>
      <c r="F143" s="12"/>
    </row>
    <row r="144" spans="2:13" ht="20.25" thickBot="1" x14ac:dyDescent="0.3">
      <c r="B144" s="3" t="s">
        <v>110</v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</row>
    <row r="145" spans="2:13" ht="15.75" thickTop="1" x14ac:dyDescent="0.25"/>
    <row r="147" spans="2:13" ht="40.5" x14ac:dyDescent="0.25">
      <c r="D147" s="31" t="s">
        <v>111</v>
      </c>
      <c r="F147" s="56" t="s">
        <v>112</v>
      </c>
      <c r="G147" s="56" t="s">
        <v>113</v>
      </c>
    </row>
    <row r="148" spans="2:13" x14ac:dyDescent="0.25">
      <c r="D148" s="9" t="s">
        <v>114</v>
      </c>
      <c r="F148" s="25">
        <v>0.24138749756015201</v>
      </c>
      <c r="G148" s="57">
        <v>1.3993990302917005</v>
      </c>
      <c r="H148" s="28" t="s">
        <v>115</v>
      </c>
    </row>
    <row r="149" spans="2:13" x14ac:dyDescent="0.25">
      <c r="D149" s="9" t="s">
        <v>87</v>
      </c>
      <c r="F149" s="25">
        <v>0.57504622886636669</v>
      </c>
      <c r="G149" s="57">
        <v>2.052048867856711</v>
      </c>
      <c r="H149" s="28" t="s">
        <v>115</v>
      </c>
    </row>
    <row r="150" spans="2:13" x14ac:dyDescent="0.25">
      <c r="D150" s="9" t="s">
        <v>159</v>
      </c>
      <c r="F150" s="25">
        <v>4.6139331569458666E-2</v>
      </c>
      <c r="G150" s="57">
        <v>1.0015028876120209</v>
      </c>
      <c r="H150" s="28" t="s">
        <v>115</v>
      </c>
    </row>
    <row r="151" spans="2:13" x14ac:dyDescent="0.25">
      <c r="D151" s="9" t="s">
        <v>116</v>
      </c>
      <c r="F151" s="25">
        <v>1.1887028567345739E-3</v>
      </c>
      <c r="G151" s="57">
        <v>2.0778484770340697E-2</v>
      </c>
      <c r="H151" s="28" t="s">
        <v>115</v>
      </c>
    </row>
    <row r="152" spans="2:13" x14ac:dyDescent="0.25">
      <c r="D152" s="9" t="s">
        <v>117</v>
      </c>
      <c r="F152" s="25">
        <v>1.3436927277833804E-2</v>
      </c>
      <c r="G152" s="57">
        <v>0.61427564116268563</v>
      </c>
      <c r="H152" s="28" t="s">
        <v>115</v>
      </c>
    </row>
    <row r="153" spans="2:13" x14ac:dyDescent="0.25">
      <c r="D153" s="9" t="s">
        <v>82</v>
      </c>
      <c r="F153" s="25">
        <v>0.12280131186945417</v>
      </c>
      <c r="G153" s="57">
        <v>2.17599092729301</v>
      </c>
      <c r="H153" s="28" t="s">
        <v>115</v>
      </c>
    </row>
    <row r="154" spans="2:13" ht="15.75" thickBot="1" x14ac:dyDescent="0.3">
      <c r="D154" s="9" t="s">
        <v>158</v>
      </c>
      <c r="F154" s="72"/>
      <c r="G154" s="57">
        <v>29.30493727023574</v>
      </c>
      <c r="H154" s="28" t="s">
        <v>115</v>
      </c>
    </row>
    <row r="155" spans="2:13" x14ac:dyDescent="0.25">
      <c r="D155" s="12"/>
      <c r="F155" s="12"/>
      <c r="G155" s="12"/>
    </row>
    <row r="157" spans="2:13" ht="20.25" thickBot="1" x14ac:dyDescent="0.3">
      <c r="B157" s="3" t="s">
        <v>141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</row>
    <row r="158" spans="2:13" ht="15.75" thickTop="1" x14ac:dyDescent="0.25"/>
    <row r="161" spans="4:6" x14ac:dyDescent="0.25">
      <c r="D161" t="s">
        <v>147</v>
      </c>
      <c r="F161" s="66">
        <v>4386.2</v>
      </c>
    </row>
    <row r="162" spans="4:6" x14ac:dyDescent="0.25">
      <c r="D162" t="s">
        <v>148</v>
      </c>
      <c r="F162" s="25">
        <v>0.12540000000000001</v>
      </c>
    </row>
  </sheetData>
  <pageMargins left="0.7" right="0.7" top="0.75" bottom="0.75" header="0.3" footer="0.3"/>
  <pageSetup paperSize="9" orientation="portrait" horizontalDpi="300" verticalDpi="300" r:id="rId1"/>
  <headerFooter>
    <oddHeader>&amp;R&amp;"Aptos"&amp;10&amp;KFF0000 Información pública&amp;1#_x000D_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1BC7EB4CC18F24AA9DB7984C727D108" ma:contentTypeVersion="4" ma:contentTypeDescription="Crear nuevo documento." ma:contentTypeScope="" ma:versionID="605148a85d201567d9676cfefe85387a">
  <xsd:schema xmlns:xsd="http://www.w3.org/2001/XMLSchema" xmlns:xs="http://www.w3.org/2001/XMLSchema" xmlns:p="http://schemas.microsoft.com/office/2006/metadata/properties" xmlns:ns2="4b4413c7-4908-4359-a34b-8e90782e02a3" targetNamespace="http://schemas.microsoft.com/office/2006/metadata/properties" ma:root="true" ma:fieldsID="93e9ca6de60400c9c6e9f10ec78bcb0a" ns2:_="">
    <xsd:import namespace="4b4413c7-4908-4359-a34b-8e90782e02a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4413c7-4908-4359-a34b-8e90782e02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5751E62-584B-4931-A80C-A20DA6D431DC}"/>
</file>

<file path=customXml/itemProps2.xml><?xml version="1.0" encoding="utf-8"?>
<ds:datastoreItem xmlns:ds="http://schemas.openxmlformats.org/officeDocument/2006/customXml" ds:itemID="{D2A7DEE5-1A72-4D52-8EA2-E2E72122600F}"/>
</file>

<file path=customXml/itemProps3.xml><?xml version="1.0" encoding="utf-8"?>
<ds:datastoreItem xmlns:ds="http://schemas.openxmlformats.org/officeDocument/2006/customXml" ds:itemID="{8CFE4D21-3811-42C9-99F2-FCDDFC4F5A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Reconexión Móvil</vt:lpstr>
      <vt:lpstr>Reconexión Fija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Fabián Medel (fabian.medel)</dc:creator>
  <cp:lastModifiedBy>Camilo Pinilla</cp:lastModifiedBy>
  <dcterms:created xsi:type="dcterms:W3CDTF">2025-06-11T16:07:59Z</dcterms:created>
  <dcterms:modified xsi:type="dcterms:W3CDTF">2025-12-26T21:30:34Z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c9276b6-75f1-4620-a6a2-153244a3486e_Enabled">
    <vt:lpwstr>true</vt:lpwstr>
  </property>
  <property fmtid="{D5CDD505-2E9C-101B-9397-08002B2CF9AE}" pid="3" name="MSIP_Label_7c9276b6-75f1-4620-a6a2-153244a3486e_SetDate">
    <vt:lpwstr>2025-12-26T14:51:11Z</vt:lpwstr>
  </property>
  <property fmtid="{D5CDD505-2E9C-101B-9397-08002B2CF9AE}" pid="4" name="MSIP_Label_7c9276b6-75f1-4620-a6a2-153244a3486e_Method">
    <vt:lpwstr>Privileged</vt:lpwstr>
  </property>
  <property fmtid="{D5CDD505-2E9C-101B-9397-08002B2CF9AE}" pid="5" name="MSIP_Label_7c9276b6-75f1-4620-a6a2-153244a3486e_Name">
    <vt:lpwstr>Pru_Pública</vt:lpwstr>
  </property>
  <property fmtid="{D5CDD505-2E9C-101B-9397-08002B2CF9AE}" pid="6" name="MSIP_Label_7c9276b6-75f1-4620-a6a2-153244a3486e_SiteId">
    <vt:lpwstr>2cdab013-7b2d-4428-b384-326c870248c1</vt:lpwstr>
  </property>
  <property fmtid="{D5CDD505-2E9C-101B-9397-08002B2CF9AE}" pid="7" name="MSIP_Label_7c9276b6-75f1-4620-a6a2-153244a3486e_ActionId">
    <vt:lpwstr>de64f2f2-3683-40fe-a602-5da30263b43a</vt:lpwstr>
  </property>
  <property fmtid="{D5CDD505-2E9C-101B-9397-08002B2CF9AE}" pid="8" name="MSIP_Label_7c9276b6-75f1-4620-a6a2-153244a3486e_ContentBits">
    <vt:lpwstr>1</vt:lpwstr>
  </property>
  <property fmtid="{D5CDD505-2E9C-101B-9397-08002B2CF9AE}" pid="9" name="MSIP_Label_7c9276b6-75f1-4620-a6a2-153244a3486e_Tag">
    <vt:lpwstr>10, 0, 1, 1</vt:lpwstr>
  </property>
  <property fmtid="{D5CDD505-2E9C-101B-9397-08002B2CF9AE}" pid="10" name="ContentTypeId">
    <vt:lpwstr>0x01010081BC7EB4CC18F24AA9DB7984C727D108</vt:lpwstr>
  </property>
</Properties>
</file>