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675" windowHeight="9495" activeTab="0"/>
  </bookViews>
  <sheets>
    <sheet name="Demanda" sheetId="1" r:id="rId1"/>
    <sheet name="Admisión" sheetId="2" r:id="rId2"/>
    <sheet name="Clasificación" sheetId="3" r:id="rId3"/>
    <sheet name="Alistamiento" sheetId="4" r:id="rId4"/>
    <sheet name="Transporte" sheetId="5" r:id="rId5"/>
    <sheet name="Entrega" sheetId="6" r:id="rId6"/>
    <sheet name="Overhead" sheetId="7" r:id="rId7"/>
  </sheets>
  <externalReferences>
    <externalReference r:id="rId10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<sst xmlns="http://schemas.openxmlformats.org/spreadsheetml/2006/main" count="473" uniqueCount="238">
  <si>
    <t xml:space="preserve"> - Masivo</t>
  </si>
  <si>
    <t>Total Ingresos</t>
  </si>
  <si>
    <t>3. PROYECCION DE INGRESOS DEL OPERADOR - MM de $ -</t>
  </si>
  <si>
    <t>+ Envíos adicionales por ajuste en los precios</t>
  </si>
  <si>
    <t>+ o - Variación en la Participación</t>
  </si>
  <si>
    <t>Con Participación Actual 2009</t>
  </si>
  <si>
    <t>Total Envíos</t>
  </si>
  <si>
    <t>2. PROYECCION DE ENVIOS DEL OPERADOR - Millones -</t>
  </si>
  <si>
    <t>1. PROYECCION DE ENVIOS DEL MERCADO - Millones -</t>
  </si>
  <si>
    <t>AÑO</t>
  </si>
  <si>
    <t>OPERADOR:</t>
  </si>
  <si>
    <t>Proyecciones de Demanda y Participación del Operador</t>
  </si>
  <si>
    <t>COMISION DE REGULACION DE COMUNICACIONES</t>
  </si>
  <si>
    <t>OPERADOR POSTAL</t>
  </si>
  <si>
    <t>Costo</t>
  </si>
  <si>
    <t>Número de personas</t>
  </si>
  <si>
    <t>Total software</t>
  </si>
  <si>
    <t>Total mubles y enseres</t>
  </si>
  <si>
    <t>Software</t>
  </si>
  <si>
    <t>Muebles y enseres</t>
  </si>
  <si>
    <t>TIPO O</t>
  </si>
  <si>
    <t>TIPO N</t>
  </si>
  <si>
    <t>TIPO M</t>
  </si>
  <si>
    <t>TIPO L</t>
  </si>
  <si>
    <t>TIPO K</t>
  </si>
  <si>
    <t>TIPO J</t>
  </si>
  <si>
    <t>TIPO I</t>
  </si>
  <si>
    <t>TIPO H</t>
  </si>
  <si>
    <t>TIPO G</t>
  </si>
  <si>
    <t>TIPO F</t>
  </si>
  <si>
    <t>TIPO E</t>
  </si>
  <si>
    <t>TIPO D</t>
  </si>
  <si>
    <t>TIPO C</t>
  </si>
  <si>
    <t>TIPO B</t>
  </si>
  <si>
    <t>TIPO A</t>
  </si>
  <si>
    <t>No. Oficinas</t>
  </si>
  <si>
    <t>Vr. Oficina $</t>
  </si>
  <si>
    <t>2.1 Costos Generales por Tipo Mes</t>
  </si>
  <si>
    <t xml:space="preserve">Licencia office </t>
  </si>
  <si>
    <t>Licencia post</t>
  </si>
  <si>
    <t xml:space="preserve">Impresora de facturas </t>
  </si>
  <si>
    <t>Impresora de marbetes</t>
  </si>
  <si>
    <t>Sillas empleados</t>
  </si>
  <si>
    <t>Muebles de oficina empleados</t>
  </si>
  <si>
    <t>Estructuras</t>
  </si>
  <si>
    <t>Balanzas</t>
  </si>
  <si>
    <t>Sacas</t>
  </si>
  <si>
    <t>Vr. Unidad $</t>
  </si>
  <si>
    <t>No.</t>
  </si>
  <si>
    <t>Total Costos Generales Mes</t>
  </si>
  <si>
    <t>Servicios públicos</t>
  </si>
  <si>
    <t>Suministros</t>
  </si>
  <si>
    <t>Transporte liviano</t>
  </si>
  <si>
    <t>Mantenimientos</t>
  </si>
  <si>
    <t>1.1.2 Costos Generales Todas las Bodegas Mes:</t>
  </si>
  <si>
    <t>Costo Total Bodegas Mes</t>
  </si>
  <si>
    <t>Total Arriendos</t>
  </si>
  <si>
    <t>Costo / Bodega - $ -</t>
  </si>
  <si>
    <t>Costo / Mt.2 - $ -</t>
  </si>
  <si>
    <t>Mts.2</t>
  </si>
  <si>
    <t>No.Bodegas</t>
  </si>
  <si>
    <t>Tipo</t>
  </si>
  <si>
    <t>Ubicación:</t>
  </si>
  <si>
    <t>1.1.1 Arriendo Bodegas:</t>
  </si>
  <si>
    <t>1.1 Costos Generales Mes $</t>
  </si>
  <si>
    <t>Valor $</t>
  </si>
  <si>
    <t>Opex y Capex por Tipo de Operador en el Proceso de Admisión</t>
  </si>
  <si>
    <t>Número de envíos</t>
  </si>
  <si>
    <t>Productividad PPH</t>
  </si>
  <si>
    <t>% de Eficiencia</t>
  </si>
  <si>
    <t>Base 2009</t>
  </si>
  <si>
    <t>Mejoramiento</t>
  </si>
  <si>
    <t>Muebles y enseres - $ -</t>
  </si>
  <si>
    <t>BOGOTA</t>
  </si>
  <si>
    <t>MEDELLIN</t>
  </si>
  <si>
    <t>CALI</t>
  </si>
  <si>
    <t>BARRANQUILLA</t>
  </si>
  <si>
    <t>BUCARAMANGA</t>
  </si>
  <si>
    <t>IBAGUE</t>
  </si>
  <si>
    <t>1.2 Activos Fijos</t>
  </si>
  <si>
    <t>Opex y Capex por Tipo de Operador en el Proceso de Clasificación</t>
  </si>
  <si>
    <t>Número de kgrs.</t>
  </si>
  <si>
    <t>Masivos</t>
  </si>
  <si>
    <t>Número de vehículos</t>
  </si>
  <si>
    <t>Costo Anual</t>
  </si>
  <si>
    <t>Modelo Eficiente</t>
  </si>
  <si>
    <t>Número de kgrs./día</t>
  </si>
  <si>
    <t>Costo / Mt.2       - $ -</t>
  </si>
  <si>
    <t>Cajeros</t>
  </si>
  <si>
    <t>Auxiliares de Recepción Masivos</t>
  </si>
  <si>
    <t>Auxiliares de Preclasificación</t>
  </si>
  <si>
    <t>Supervisores de Admisión</t>
  </si>
  <si>
    <t>No.Personas por Oficina</t>
  </si>
  <si>
    <t>Total por Punto de Admisión</t>
  </si>
  <si>
    <t>1.1 Modelo Eficiente</t>
  </si>
  <si>
    <t>Número de Puntos de Admisión</t>
  </si>
  <si>
    <t xml:space="preserve">Total Gastos de Personal </t>
  </si>
  <si>
    <t>1.1.1 Costos de Personal Mes $:</t>
  </si>
  <si>
    <t>Sueldo Persona / Mes $</t>
  </si>
  <si>
    <t>1.1.2 Costos Generales Mes $</t>
  </si>
  <si>
    <t>Arriendo Bodegas:</t>
  </si>
  <si>
    <t>1.1.3 Costos Generales Todas las Bodegas Mes:</t>
  </si>
  <si>
    <t>1.1.4 Capex $:</t>
  </si>
  <si>
    <t>Para Modelo Eficiente</t>
  </si>
  <si>
    <t>Activo Fijo</t>
  </si>
  <si>
    <t>Total Depreciaciones y Amortizaciones Mes</t>
  </si>
  <si>
    <t>Datos reportados por el Operador</t>
  </si>
  <si>
    <t>Total Gastos de Personal</t>
  </si>
  <si>
    <t>2.1.1 Costos de Personal Mes $:</t>
  </si>
  <si>
    <t>2.1.2 Costos Generales Mes $</t>
  </si>
  <si>
    <t>Arriendo licencia post</t>
  </si>
  <si>
    <t>No. Empleados por Tipo</t>
  </si>
  <si>
    <t>No. Empleados por Oficina</t>
  </si>
  <si>
    <t>Auxiliares de Supervisión</t>
  </si>
  <si>
    <t>Total Gastos Generales</t>
  </si>
  <si>
    <t>Red telefónica</t>
  </si>
  <si>
    <t>2.1.3 Capex $:</t>
  </si>
  <si>
    <t>Vr Total Oficinas $</t>
  </si>
  <si>
    <t>Depreciación Año $</t>
  </si>
  <si>
    <t>Computadores empleados</t>
  </si>
  <si>
    <t>Equipos de cómputo y comunicación</t>
  </si>
  <si>
    <t>Imagen Corporativa</t>
  </si>
  <si>
    <t>Total equipos de cómputo y comunicación</t>
  </si>
  <si>
    <t>Total Imagen Corporativa</t>
  </si>
  <si>
    <t>Software postal, instalación y eq de comunic.</t>
  </si>
  <si>
    <t>No. Oficinas No. Empleados</t>
  </si>
  <si>
    <t>2.1.1 Costos de Personal</t>
  </si>
  <si>
    <t>2.1 Masivos</t>
  </si>
  <si>
    <t>2.2.1 Costos de Personal</t>
  </si>
  <si>
    <t>MANIZALES</t>
  </si>
  <si>
    <t>Costos Generales</t>
  </si>
  <si>
    <t>Total</t>
  </si>
  <si>
    <t>2.5 Total Costos de Proceso de Clasificación</t>
  </si>
  <si>
    <t>2.3 Costos de Personal en el proceso de Clasificación</t>
  </si>
  <si>
    <t>Clasificadores, Supervisores y Auxiliares de Clasificación</t>
  </si>
  <si>
    <t>Para cada Centro Logístico</t>
  </si>
  <si>
    <t>Equipos de Cómputo y Comunicación - $ -</t>
  </si>
  <si>
    <t>Supervisores y Auxiliares de Clasificación</t>
  </si>
  <si>
    <t>2.4 Costos de Personal por Supervisión en Clasificación</t>
  </si>
  <si>
    <t>Arriendo bodegas</t>
  </si>
  <si>
    <t>Costo de Personal</t>
  </si>
  <si>
    <t>Costo Leasing Financiero</t>
  </si>
  <si>
    <t>1.3 Transporte Aéreo entre Centros Logísticos</t>
  </si>
  <si>
    <t>1.1 Número de envíos y kilogramos</t>
  </si>
  <si>
    <t>1.2 Transporte Urbano e Intermunicipal</t>
  </si>
  <si>
    <t>Kilogramos con transporte urbano e intermunicipal</t>
  </si>
  <si>
    <t>Kilogramos con transporte aéreo</t>
  </si>
  <si>
    <t>3. Costo del Proceso de Admisión por Operador</t>
  </si>
  <si>
    <t>3.1.1 Costos de Personal</t>
  </si>
  <si>
    <t>3.1.2 Costos Generales</t>
  </si>
  <si>
    <t>3.2.1 Costos de Personal</t>
  </si>
  <si>
    <t>3.2.2 Costos Generales</t>
  </si>
  <si>
    <t>3.3.1 Costos de Personal</t>
  </si>
  <si>
    <t>3.3.2 Costos Generales</t>
  </si>
  <si>
    <t>2. Costo del Proceso de Clasificación por Producto</t>
  </si>
  <si>
    <t>Costo de Personal Operativo en Transporte</t>
  </si>
  <si>
    <t>1.4 Costo Personal de Supervisión de Transporte</t>
  </si>
  <si>
    <t>Muebles y Enseres</t>
  </si>
  <si>
    <t>Equipos de Cómputo</t>
  </si>
  <si>
    <t>1.1 Número de envíos</t>
  </si>
  <si>
    <t>1.2 Costos Reportados por los Operadores</t>
  </si>
  <si>
    <t>1.3 Modelo Eficiente</t>
  </si>
  <si>
    <t>Opex por Tipo de Operador en el Proceso de Alistamiento</t>
  </si>
  <si>
    <t>1.4 Costo Personal de Supervisión en Alistamiento</t>
  </si>
  <si>
    <t>Opex y Capex por Tipo de Operador en el Proceso de Entrega</t>
  </si>
  <si>
    <t>Opex y Capex por Tipo de Operador en el Proceso de Transporte</t>
  </si>
  <si>
    <t>Opex y Capex del Overhead por Tipo de Operador</t>
  </si>
  <si>
    <t>1.3 Activos Fijos - Inversiones -</t>
  </si>
  <si>
    <t>Equipos de computo - $ -</t>
  </si>
  <si>
    <t>Software - $ -</t>
  </si>
  <si>
    <t>Reportado por los Operadores</t>
  </si>
  <si>
    <t>1.5 Costo Personal Operativos mas Supervisión en Alistamiento</t>
  </si>
  <si>
    <t>1.5 Costo Proceso de Transporte mas Supervisión</t>
  </si>
  <si>
    <t>1.6 Activos Fijos - Inversiones -</t>
  </si>
  <si>
    <t>Muebles y Enseres - Reportado por los Operadores -</t>
  </si>
  <si>
    <t>Muebles y Enseres - Modelo Eficiente -</t>
  </si>
  <si>
    <t>1.8 Resumen Transporte</t>
  </si>
  <si>
    <t>Personal excluido - Interconexión</t>
  </si>
  <si>
    <t xml:space="preserve"> - Mensajería No Masiva</t>
  </si>
  <si>
    <t>Mensajería No Masiva</t>
  </si>
  <si>
    <t>Tiempos de entrega Modelo Eficiente - días -</t>
  </si>
  <si>
    <t>Frecuencias - viajes por semana -</t>
  </si>
  <si>
    <t>1.10 Tiempos de entrega por producto - días -</t>
  </si>
  <si>
    <t>Mensajería No Masiva:</t>
  </si>
  <si>
    <t>1.11 % utilización capacidad furgones f(tiempo entrega)</t>
  </si>
  <si>
    <t>Número de envíos entregados por cartero al año</t>
  </si>
  <si>
    <t>1.12 Factor de incremento en el # de furgones f(tiempo entrega)</t>
  </si>
  <si>
    <t>1.5 Costo Personal de Supervisión en Entrega</t>
  </si>
  <si>
    <t>1.6 Costo Proceso de Entrega mas Supervisión</t>
  </si>
  <si>
    <t>1.7 Activos Fijos - Inversiones -</t>
  </si>
  <si>
    <t>1.9 Resumen Entrega</t>
  </si>
  <si>
    <t>1.10 Mejoramiento productividad en f(tiempo entrega)</t>
  </si>
  <si>
    <t>1.11 Factor de incremento en el # de carteros f(tiempo entrega)</t>
  </si>
  <si>
    <t>1.4 Intentos Adicionales de Entrega</t>
  </si>
  <si>
    <t>Arriendos adicionales por mayor cobertura</t>
  </si>
  <si>
    <t>Personal adicional por mayor cobertura</t>
  </si>
  <si>
    <t>No. Oficinas por Tipo de Municipio</t>
  </si>
  <si>
    <t>Gastos adicionales por mayor cobertura</t>
  </si>
  <si>
    <t>Por mayor cobertura</t>
  </si>
  <si>
    <t>1.9 Costo Proceso de Transporte Personal mas Supervisión</t>
  </si>
  <si>
    <t>% Transporte Terrestre</t>
  </si>
  <si>
    <t>% Transporte Aéreo</t>
  </si>
  <si>
    <t>1.13 Distribución Transporte Terrestre y Aéreo para No Masivos</t>
  </si>
  <si>
    <t>Track &amp; Trace</t>
  </si>
  <si>
    <t>Terminal portátil</t>
  </si>
  <si>
    <t>Página web</t>
  </si>
  <si>
    <t>Track &amp; Trace:</t>
  </si>
  <si>
    <t>Costo Anual Personal</t>
  </si>
  <si>
    <t>1.2 Costos de Personal y Otros</t>
  </si>
  <si>
    <t>Mantenimiento Página Web</t>
  </si>
  <si>
    <t>Centros de Control</t>
  </si>
  <si>
    <t>Centros de Clasificación</t>
  </si>
  <si>
    <t>Centros de Distribución</t>
  </si>
  <si>
    <t>Equipo de Cómputo Track &amp; Trace</t>
  </si>
  <si>
    <t>Equipo de Cómputo Prueba de Entrega</t>
  </si>
  <si>
    <t>Total Costos</t>
  </si>
  <si>
    <t>Costos Confiabilidad</t>
  </si>
  <si>
    <t>Línea 9-800 para admisión a domicilio</t>
  </si>
  <si>
    <t>Página web para admisión a domicilio</t>
  </si>
  <si>
    <t>1.4 Costos de Personal de Interconexión</t>
  </si>
  <si>
    <t>Call Center</t>
  </si>
  <si>
    <t>2. Masivo Puro</t>
  </si>
  <si>
    <t>3. Integrado intensivo en masivos</t>
  </si>
  <si>
    <t>2. Integrado tipo I</t>
  </si>
  <si>
    <t>3. Integrado Intensivo en masivo</t>
  </si>
  <si>
    <t>2. Integrado Tipo I</t>
  </si>
  <si>
    <t>3. Integrado intensivo en masivo</t>
  </si>
  <si>
    <t>3.1 Masivo Puro</t>
  </si>
  <si>
    <t>3.2 Integrado tipo I</t>
  </si>
  <si>
    <t>3.3 Integrado intensivo en masivos</t>
  </si>
  <si>
    <t>1. Integrado tipo I e Integrado intensivo en masivos</t>
  </si>
  <si>
    <t>1. Integrado tipo I</t>
  </si>
  <si>
    <t>Masivo Puro</t>
  </si>
  <si>
    <t>Integrado tipo I</t>
  </si>
  <si>
    <t>Integrado intensivo en masivos</t>
  </si>
  <si>
    <t xml:space="preserve"> - Mensajería  No Masiva</t>
  </si>
  <si>
    <t>2.2 Mensajería Individual</t>
  </si>
  <si>
    <t>Auxiliares de Recepción Mensajería no masiva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</si>
</sst>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.0000"/>
    <numFmt numFmtId="173" formatCode="#,##0.0"/>
    <numFmt numFmtId="174" formatCode="0.0%"/>
    <numFmt numFmtId="175" formatCode="0.0"/>
    <numFmt numFmtId="176" formatCode="#,##0.00000000"/>
    <numFmt numFmtId="177" formatCode="0.00000"/>
  </numFmts>
  <fonts count="29">
    <font>
      <sz val="11"/>
      <color indexed="8"/>
      <name val="Calibri"/>
      <family val="2"/>
    </font>
    <font>
      <b/>
      <sz val="12"/>
      <color indexed="17"/>
      <name val="Calibri"/>
      <family val="2"/>
    </font>
    <font>
      <b/>
      <sz val="12"/>
      <name val="Calibri"/>
      <family val="2"/>
    </font>
    <font>
      <sz val="10"/>
      <name val="Arial"/>
      <family val="0"/>
    </font>
    <font>
      <sz val="12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0" fillId="24" borderId="0" xfId="0" applyFill="1" applyAlignment="1">
      <alignment/>
    </xf>
    <xf numFmtId="3" fontId="0" fillId="24" borderId="10" xfId="0" applyNumberFormat="1" applyFill="1" applyBorder="1" applyAlignment="1">
      <alignment horizontal="center"/>
    </xf>
    <xf numFmtId="0" fontId="22" fillId="0" borderId="10" xfId="54" applyFont="1" applyBorder="1" applyAlignment="1" applyProtection="1">
      <alignment horizontal="left" indent="2"/>
      <protection locked="0"/>
    </xf>
    <xf numFmtId="3" fontId="23" fillId="8" borderId="10" xfId="0" applyNumberFormat="1" applyFont="1" applyFill="1" applyBorder="1" applyAlignment="1">
      <alignment horizontal="center"/>
    </xf>
    <xf numFmtId="0" fontId="23" fillId="8" borderId="10" xfId="22" applyFont="1" applyFill="1" applyBorder="1" applyAlignment="1">
      <alignment horizontal="left" indent="1"/>
    </xf>
    <xf numFmtId="0" fontId="22" fillId="24" borderId="0" xfId="54" applyFont="1" applyFill="1">
      <alignment/>
      <protection/>
    </xf>
    <xf numFmtId="0" fontId="24" fillId="18" borderId="10" xfId="0" applyFont="1" applyFill="1" applyBorder="1" applyAlignment="1">
      <alignment horizontal="left" indent="1"/>
    </xf>
    <xf numFmtId="0" fontId="22" fillId="24" borderId="0" xfId="54" applyFont="1" applyFill="1" applyProtection="1">
      <alignment/>
      <protection locked="0"/>
    </xf>
    <xf numFmtId="1" fontId="0" fillId="24" borderId="10" xfId="0" applyNumberFormat="1" applyFill="1" applyBorder="1" applyAlignment="1">
      <alignment horizontal="center"/>
    </xf>
    <xf numFmtId="49" fontId="21" fillId="22" borderId="10" xfId="0" applyNumberFormat="1" applyFont="1" applyFill="1" applyBorder="1" applyAlignment="1">
      <alignment horizontal="left" indent="1"/>
    </xf>
    <xf numFmtId="0" fontId="21" fillId="22" borderId="10" xfId="0" applyFont="1" applyFill="1" applyBorder="1" applyAlignment="1">
      <alignment horizontal="left" indent="1"/>
    </xf>
    <xf numFmtId="1" fontId="24" fillId="25" borderId="10" xfId="54" applyNumberFormat="1" applyFont="1" applyFill="1" applyBorder="1" applyAlignment="1">
      <alignment horizontal="center"/>
      <protection/>
    </xf>
    <xf numFmtId="0" fontId="24" fillId="25" borderId="11" xfId="0" applyFont="1" applyFill="1" applyBorder="1" applyAlignment="1">
      <alignment horizontal="left" indent="1"/>
    </xf>
    <xf numFmtId="0" fontId="22" fillId="24" borderId="0" xfId="54" applyFont="1" applyFill="1">
      <alignment/>
      <protection/>
    </xf>
    <xf numFmtId="0" fontId="22" fillId="24" borderId="0" xfId="54" applyFont="1" applyFill="1" applyProtection="1">
      <alignment/>
      <protection locked="0"/>
    </xf>
    <xf numFmtId="3" fontId="22" fillId="24" borderId="0" xfId="54" applyNumberFormat="1" applyFont="1" applyFill="1">
      <alignment/>
      <protection/>
    </xf>
    <xf numFmtId="172" fontId="22" fillId="24" borderId="0" xfId="54" applyNumberFormat="1" applyFont="1" applyFill="1">
      <alignment/>
      <protection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24" borderId="0" xfId="55" applyFill="1">
      <alignment/>
      <protection/>
    </xf>
    <xf numFmtId="3" fontId="4" fillId="0" borderId="10" xfId="50" applyNumberFormat="1" applyFont="1" applyBorder="1" applyAlignment="1">
      <alignment/>
    </xf>
    <xf numFmtId="0" fontId="4" fillId="0" borderId="10" xfId="55" applyFont="1" applyBorder="1" applyAlignment="1">
      <alignment horizontal="left" indent="5"/>
      <protection/>
    </xf>
    <xf numFmtId="0" fontId="1" fillId="24" borderId="0" xfId="55" applyFont="1" applyFill="1">
      <alignment/>
      <protection/>
    </xf>
    <xf numFmtId="0" fontId="2" fillId="24" borderId="0" xfId="55" applyFont="1" applyFill="1">
      <alignment/>
      <protection/>
    </xf>
    <xf numFmtId="0" fontId="3" fillId="24" borderId="0" xfId="56" applyFill="1">
      <alignment/>
      <protection/>
    </xf>
    <xf numFmtId="3" fontId="22" fillId="0" borderId="10" xfId="56" applyNumberFormat="1" applyFont="1" applyFill="1" applyBorder="1" applyAlignment="1" applyProtection="1">
      <alignment horizontal="right" vertical="center"/>
      <protection locked="0"/>
    </xf>
    <xf numFmtId="3" fontId="22" fillId="0" borderId="10" xfId="56" applyNumberFormat="1" applyFont="1" applyFill="1" applyBorder="1" applyAlignment="1" applyProtection="1">
      <alignment horizontal="center" vertical="center"/>
      <protection locked="0"/>
    </xf>
    <xf numFmtId="3" fontId="23" fillId="16" borderId="10" xfId="56" applyNumberFormat="1" applyFont="1" applyFill="1" applyBorder="1" applyAlignment="1" applyProtection="1">
      <alignment horizontal="right" vertical="center"/>
      <protection locked="0"/>
    </xf>
    <xf numFmtId="3" fontId="23" fillId="16" borderId="10" xfId="56" applyNumberFormat="1" applyFont="1" applyFill="1" applyBorder="1" applyAlignment="1" applyProtection="1">
      <alignment horizontal="center" vertical="center"/>
      <protection locked="0"/>
    </xf>
    <xf numFmtId="0" fontId="23" fillId="16" borderId="10" xfId="56" applyFont="1" applyFill="1" applyBorder="1" applyAlignment="1" applyProtection="1">
      <alignment horizontal="center" vertical="center"/>
      <protection locked="0"/>
    </xf>
    <xf numFmtId="0" fontId="4" fillId="0" borderId="10" xfId="56" applyFont="1" applyFill="1" applyBorder="1" applyAlignment="1">
      <alignment horizontal="left" indent="5"/>
      <protection/>
    </xf>
    <xf numFmtId="3" fontId="23" fillId="9" borderId="10" xfId="56" applyNumberFormat="1" applyFont="1" applyFill="1" applyBorder="1" applyAlignment="1" applyProtection="1">
      <alignment vertical="center"/>
      <protection locked="0"/>
    </xf>
    <xf numFmtId="0" fontId="23" fillId="9" borderId="10" xfId="56" applyFont="1" applyFill="1" applyBorder="1" applyAlignment="1" applyProtection="1">
      <alignment horizontal="left" vertical="center" indent="7"/>
      <protection locked="0"/>
    </xf>
    <xf numFmtId="3" fontId="4" fillId="24" borderId="10" xfId="56" applyNumberFormat="1" applyFont="1" applyFill="1" applyBorder="1">
      <alignment/>
      <protection/>
    </xf>
    <xf numFmtId="0" fontId="4" fillId="24" borderId="10" xfId="56" applyFont="1" applyFill="1" applyBorder="1" applyAlignment="1">
      <alignment horizontal="center"/>
      <protection/>
    </xf>
    <xf numFmtId="0" fontId="22" fillId="0" borderId="10" xfId="56" applyFont="1" applyBorder="1" applyAlignment="1">
      <alignment horizontal="left" vertical="center" indent="5"/>
      <protection/>
    </xf>
    <xf numFmtId="3" fontId="4" fillId="24" borderId="10" xfId="56" applyNumberFormat="1" applyFont="1" applyFill="1" applyBorder="1" applyAlignment="1">
      <alignment horizontal="center"/>
      <protection/>
    </xf>
    <xf numFmtId="0" fontId="24" fillId="18" borderId="10" xfId="56" applyFont="1" applyFill="1" applyBorder="1" applyAlignment="1">
      <alignment horizontal="left"/>
      <protection/>
    </xf>
    <xf numFmtId="3" fontId="23" fillId="15" borderId="10" xfId="56" applyNumberFormat="1" applyFont="1" applyFill="1" applyBorder="1" applyAlignment="1" applyProtection="1">
      <alignment horizontal="center" vertical="center"/>
      <protection locked="0"/>
    </xf>
    <xf numFmtId="0" fontId="23" fillId="15" borderId="10" xfId="56" applyFont="1" applyFill="1" applyBorder="1" applyAlignment="1" applyProtection="1">
      <alignment horizontal="left" vertical="center" indent="6"/>
      <protection locked="0"/>
    </xf>
    <xf numFmtId="0" fontId="3" fillId="24" borderId="10" xfId="56" applyFill="1" applyBorder="1">
      <alignment/>
      <protection/>
    </xf>
    <xf numFmtId="0" fontId="22" fillId="0" borderId="10" xfId="56" applyFont="1" applyBorder="1" applyAlignment="1" applyProtection="1">
      <alignment horizontal="left" vertical="center" indent="7"/>
      <protection locked="0"/>
    </xf>
    <xf numFmtId="0" fontId="2" fillId="8" borderId="10" xfId="56" applyFont="1" applyFill="1" applyBorder="1" applyAlignment="1">
      <alignment/>
      <protection/>
    </xf>
    <xf numFmtId="3" fontId="23" fillId="9" borderId="10" xfId="56" applyNumberFormat="1" applyFont="1" applyFill="1" applyBorder="1" applyAlignment="1" applyProtection="1">
      <alignment horizontal="center" vertical="center"/>
      <protection locked="0"/>
    </xf>
    <xf numFmtId="3" fontId="23" fillId="9" borderId="10" xfId="56" applyNumberFormat="1" applyFont="1" applyFill="1" applyBorder="1" applyAlignment="1" applyProtection="1">
      <alignment horizontal="right" vertical="center"/>
      <protection locked="0"/>
    </xf>
    <xf numFmtId="0" fontId="24" fillId="25" borderId="10" xfId="56" applyFont="1" applyFill="1" applyBorder="1" applyAlignment="1">
      <alignment horizontal="left"/>
      <protection/>
    </xf>
    <xf numFmtId="0" fontId="1" fillId="24" borderId="0" xfId="56" applyFont="1" applyFill="1">
      <alignment/>
      <protection/>
    </xf>
    <xf numFmtId="0" fontId="2" fillId="24" borderId="0" xfId="56" applyFont="1" applyFill="1">
      <alignment/>
      <protection/>
    </xf>
    <xf numFmtId="0" fontId="4" fillId="0" borderId="10" xfId="55" applyFont="1" applyBorder="1" applyAlignment="1">
      <alignment horizontal="left" indent="7"/>
      <protection/>
    </xf>
    <xf numFmtId="9" fontId="4" fillId="0" borderId="10" xfId="58" applyFont="1" applyBorder="1" applyAlignment="1">
      <alignment/>
    </xf>
    <xf numFmtId="0" fontId="24" fillId="25" borderId="10" xfId="56" applyFont="1" applyFill="1" applyBorder="1" applyAlignment="1">
      <alignment horizontal="center"/>
      <protection/>
    </xf>
    <xf numFmtId="1" fontId="24" fillId="25" borderId="10" xfId="56" applyNumberFormat="1" applyFont="1" applyFill="1" applyBorder="1" applyAlignment="1">
      <alignment horizontal="center"/>
      <protection/>
    </xf>
    <xf numFmtId="3" fontId="22" fillId="24" borderId="10" xfId="0" applyNumberFormat="1" applyFont="1" applyFill="1" applyBorder="1" applyAlignment="1">
      <alignment horizontal="center"/>
    </xf>
    <xf numFmtId="3" fontId="22" fillId="24" borderId="10" xfId="0" applyNumberFormat="1" applyFont="1" applyFill="1" applyBorder="1" applyAlignment="1">
      <alignment horizontal="right"/>
    </xf>
    <xf numFmtId="0" fontId="24" fillId="18" borderId="10" xfId="56" applyFont="1" applyFill="1" applyBorder="1" applyAlignment="1">
      <alignment horizontal="left" indent="2"/>
      <protection/>
    </xf>
    <xf numFmtId="0" fontId="22" fillId="0" borderId="10" xfId="0" applyFont="1" applyBorder="1" applyAlignment="1">
      <alignment horizontal="left" vertical="center" indent="5"/>
    </xf>
    <xf numFmtId="0" fontId="4" fillId="24" borderId="10" xfId="0" applyFont="1" applyFill="1" applyBorder="1" applyAlignment="1">
      <alignment/>
    </xf>
    <xf numFmtId="0" fontId="2" fillId="22" borderId="10" xfId="56" applyFont="1" applyFill="1" applyBorder="1" applyAlignment="1">
      <alignment horizontal="left" vertical="center" indent="7"/>
      <protection/>
    </xf>
    <xf numFmtId="0" fontId="2" fillId="22" borderId="10" xfId="56" applyFont="1" applyFill="1" applyBorder="1" applyAlignment="1">
      <alignment horizontal="center" vertical="center"/>
      <protection/>
    </xf>
    <xf numFmtId="0" fontId="2" fillId="22" borderId="10" xfId="56" applyFont="1" applyFill="1" applyBorder="1" applyAlignment="1">
      <alignment horizontal="center" wrapText="1"/>
      <protection/>
    </xf>
    <xf numFmtId="3" fontId="23" fillId="9" borderId="10" xfId="56" applyNumberFormat="1" applyFont="1" applyFill="1" applyBorder="1" applyAlignment="1" applyProtection="1">
      <alignment horizontal="left" vertical="center"/>
      <protection locked="0"/>
    </xf>
    <xf numFmtId="0" fontId="2" fillId="22" borderId="10" xfId="56" applyFont="1" applyFill="1" applyBorder="1" applyAlignment="1">
      <alignment horizontal="center" vertical="center" wrapText="1"/>
      <protection/>
    </xf>
    <xf numFmtId="0" fontId="4" fillId="24" borderId="10" xfId="0" applyFont="1" applyFill="1" applyBorder="1" applyAlignment="1">
      <alignment horizontal="left" indent="4"/>
    </xf>
    <xf numFmtId="0" fontId="24" fillId="25" borderId="10" xfId="0" applyFont="1" applyFill="1" applyBorder="1" applyAlignment="1">
      <alignment horizontal="left"/>
    </xf>
    <xf numFmtId="0" fontId="24" fillId="18" borderId="10" xfId="0" applyFont="1" applyFill="1" applyBorder="1" applyAlignment="1">
      <alignment horizontal="left"/>
    </xf>
    <xf numFmtId="0" fontId="2" fillId="8" borderId="10" xfId="55" applyFont="1" applyFill="1" applyBorder="1" applyAlignment="1">
      <alignment/>
      <protection/>
    </xf>
    <xf numFmtId="0" fontId="2" fillId="0" borderId="10" xfId="55" applyFont="1" applyBorder="1" applyAlignment="1">
      <alignment horizontal="left"/>
      <protection/>
    </xf>
    <xf numFmtId="0" fontId="4" fillId="0" borderId="10" xfId="55" applyFont="1" applyBorder="1" applyAlignment="1">
      <alignment horizontal="left" indent="4"/>
      <protection/>
    </xf>
    <xf numFmtId="0" fontId="23" fillId="8" borderId="10" xfId="22" applyFont="1" applyFill="1" applyBorder="1" applyAlignment="1">
      <alignment horizontal="left" vertical="center"/>
    </xf>
    <xf numFmtId="0" fontId="23" fillId="8" borderId="10" xfId="22" applyFont="1" applyFill="1" applyBorder="1" applyAlignment="1">
      <alignment horizontal="center" vertical="center" wrapText="1"/>
    </xf>
    <xf numFmtId="0" fontId="23" fillId="15" borderId="10" xfId="56" applyFont="1" applyFill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left" vertical="center" indent="7"/>
      <protection locked="0"/>
    </xf>
    <xf numFmtId="173" fontId="22" fillId="0" borderId="10" xfId="56" applyNumberFormat="1" applyFont="1" applyFill="1" applyBorder="1" applyAlignment="1" applyProtection="1">
      <alignment horizontal="center" vertical="center"/>
      <protection locked="0"/>
    </xf>
    <xf numFmtId="0" fontId="2" fillId="22" borderId="10" xfId="56" applyFont="1" applyFill="1" applyBorder="1" applyAlignment="1">
      <alignment horizontal="left" indent="4"/>
      <protection/>
    </xf>
    <xf numFmtId="0" fontId="24" fillId="25" borderId="12" xfId="56" applyFont="1" applyFill="1" applyBorder="1" applyAlignment="1">
      <alignment vertical="center"/>
      <protection/>
    </xf>
    <xf numFmtId="0" fontId="24" fillId="18" borderId="13" xfId="56" applyFont="1" applyFill="1" applyBorder="1" applyAlignment="1">
      <alignment horizontal="left" vertical="center" wrapText="1"/>
      <protection/>
    </xf>
    <xf numFmtId="0" fontId="24" fillId="25" borderId="11" xfId="56" applyFont="1" applyFill="1" applyBorder="1" applyAlignment="1">
      <alignment vertical="center"/>
      <protection/>
    </xf>
    <xf numFmtId="0" fontId="24" fillId="25" borderId="14" xfId="56" applyFont="1" applyFill="1" applyBorder="1" applyAlignment="1">
      <alignment vertical="center"/>
      <protection/>
    </xf>
    <xf numFmtId="0" fontId="23" fillId="8" borderId="13" xfId="22" applyFont="1" applyFill="1" applyBorder="1" applyAlignment="1">
      <alignment horizontal="left" vertical="center"/>
    </xf>
    <xf numFmtId="0" fontId="23" fillId="8" borderId="13" xfId="22" applyFont="1" applyFill="1" applyBorder="1" applyAlignment="1">
      <alignment horizontal="center" vertical="center" wrapText="1"/>
    </xf>
    <xf numFmtId="0" fontId="23" fillId="16" borderId="15" xfId="56" applyFont="1" applyFill="1" applyBorder="1" applyAlignment="1" applyProtection="1">
      <alignment horizontal="center" vertical="center"/>
      <protection locked="0"/>
    </xf>
    <xf numFmtId="3" fontId="23" fillId="16" borderId="15" xfId="56" applyNumberFormat="1" applyFont="1" applyFill="1" applyBorder="1" applyAlignment="1" applyProtection="1">
      <alignment horizontal="center" vertical="center"/>
      <protection locked="0"/>
    </xf>
    <xf numFmtId="3" fontId="23" fillId="16" borderId="15" xfId="56" applyNumberFormat="1" applyFont="1" applyFill="1" applyBorder="1" applyAlignment="1" applyProtection="1">
      <alignment horizontal="right" vertical="center"/>
      <protection locked="0"/>
    </xf>
    <xf numFmtId="3" fontId="3" fillId="24" borderId="0" xfId="55" applyNumberFormat="1" applyFill="1">
      <alignment/>
      <protection/>
    </xf>
    <xf numFmtId="0" fontId="22" fillId="0" borderId="11" xfId="0" applyFont="1" applyBorder="1" applyAlignment="1" applyProtection="1">
      <alignment horizontal="left" vertical="center" indent="4"/>
      <protection locked="0"/>
    </xf>
    <xf numFmtId="0" fontId="22" fillId="0" borderId="10" xfId="56" applyFont="1" applyBorder="1" applyAlignment="1" applyProtection="1">
      <alignment horizontal="left" vertical="center" indent="4"/>
      <protection locked="0"/>
    </xf>
    <xf numFmtId="0" fontId="2" fillId="0" borderId="10" xfId="55" applyFont="1" applyBorder="1" applyAlignment="1">
      <alignment horizontal="center"/>
      <protection/>
    </xf>
    <xf numFmtId="3" fontId="2" fillId="0" borderId="10" xfId="50" applyNumberFormat="1" applyFont="1" applyBorder="1" applyAlignment="1">
      <alignment/>
    </xf>
    <xf numFmtId="0" fontId="23" fillId="24" borderId="16" xfId="56" applyFont="1" applyFill="1" applyBorder="1" applyAlignment="1" applyProtection="1">
      <alignment horizontal="center" vertical="center"/>
      <protection locked="0"/>
    </xf>
    <xf numFmtId="3" fontId="23" fillId="24" borderId="17" xfId="56" applyNumberFormat="1" applyFont="1" applyFill="1" applyBorder="1" applyAlignment="1" applyProtection="1">
      <alignment horizontal="center" vertical="center"/>
      <protection locked="0"/>
    </xf>
    <xf numFmtId="3" fontId="23" fillId="24" borderId="17" xfId="56" applyNumberFormat="1" applyFont="1" applyFill="1" applyBorder="1" applyAlignment="1" applyProtection="1">
      <alignment horizontal="right" vertical="center"/>
      <protection locked="0"/>
    </xf>
    <xf numFmtId="0" fontId="4" fillId="0" borderId="10" xfId="55" applyFont="1" applyBorder="1" applyAlignment="1">
      <alignment horizontal="left" indent="3"/>
      <protection/>
    </xf>
    <xf numFmtId="0" fontId="2" fillId="0" borderId="10" xfId="55" applyFont="1" applyBorder="1" applyAlignment="1">
      <alignment horizontal="left" indent="3"/>
      <protection/>
    </xf>
    <xf numFmtId="0" fontId="24" fillId="25" borderId="10" xfId="55" applyFont="1" applyFill="1" applyBorder="1" applyAlignment="1">
      <alignment horizontal="left"/>
      <protection/>
    </xf>
    <xf numFmtId="0" fontId="2" fillId="8" borderId="10" xfId="56" applyFont="1" applyFill="1" applyBorder="1" applyAlignment="1">
      <alignment horizontal="left" indent="2"/>
      <protection/>
    </xf>
    <xf numFmtId="3" fontId="3" fillId="24" borderId="0" xfId="56" applyNumberFormat="1" applyFill="1">
      <alignment/>
      <protection/>
    </xf>
    <xf numFmtId="175" fontId="0" fillId="24" borderId="10" xfId="0" applyNumberFormat="1" applyFill="1" applyBorder="1" applyAlignment="1">
      <alignment horizontal="center"/>
    </xf>
    <xf numFmtId="175" fontId="23" fillId="8" borderId="10" xfId="0" applyNumberFormat="1" applyFont="1" applyFill="1" applyBorder="1" applyAlignment="1">
      <alignment horizontal="center"/>
    </xf>
    <xf numFmtId="0" fontId="25" fillId="24" borderId="10" xfId="0" applyFont="1" applyFill="1" applyBorder="1" applyAlignment="1">
      <alignment horizontal="left" indent="7"/>
    </xf>
    <xf numFmtId="1" fontId="25" fillId="24" borderId="10" xfId="0" applyNumberFormat="1" applyFont="1" applyFill="1" applyBorder="1" applyAlignment="1">
      <alignment horizontal="center"/>
    </xf>
    <xf numFmtId="175" fontId="25" fillId="24" borderId="10" xfId="0" applyNumberFormat="1" applyFont="1" applyFill="1" applyBorder="1" applyAlignment="1">
      <alignment horizontal="center"/>
    </xf>
    <xf numFmtId="3" fontId="25" fillId="24" borderId="10" xfId="0" applyNumberFormat="1" applyFont="1" applyFill="1" applyBorder="1" applyAlignment="1">
      <alignment horizontal="right"/>
    </xf>
    <xf numFmtId="0" fontId="4" fillId="0" borderId="10" xfId="55" applyFont="1" applyBorder="1" applyAlignment="1">
      <alignment horizontal="left" indent="8"/>
      <protection/>
    </xf>
    <xf numFmtId="0" fontId="25" fillId="24" borderId="10" xfId="0" applyFont="1" applyFill="1" applyBorder="1" applyAlignment="1">
      <alignment horizontal="left" indent="10"/>
    </xf>
    <xf numFmtId="173" fontId="4" fillId="0" borderId="10" xfId="50" applyNumberFormat="1" applyFont="1" applyBorder="1" applyAlignment="1">
      <alignment/>
    </xf>
    <xf numFmtId="3" fontId="5" fillId="0" borderId="10" xfId="50" applyNumberFormat="1" applyFont="1" applyBorder="1" applyAlignment="1">
      <alignment/>
    </xf>
    <xf numFmtId="173" fontId="5" fillId="0" borderId="10" xfId="50" applyNumberFormat="1" applyFont="1" applyBorder="1" applyAlignment="1">
      <alignment/>
    </xf>
    <xf numFmtId="0" fontId="4" fillId="0" borderId="10" xfId="55" applyFont="1" applyBorder="1" applyAlignment="1">
      <alignment horizontal="left" indent="2"/>
      <protection/>
    </xf>
    <xf numFmtId="0" fontId="25" fillId="24" borderId="10" xfId="0" applyFont="1" applyFill="1" applyBorder="1" applyAlignment="1">
      <alignment horizontal="left" indent="4"/>
    </xf>
    <xf numFmtId="3" fontId="4" fillId="0" borderId="10" xfId="50" applyNumberFormat="1" applyFont="1" applyBorder="1" applyAlignment="1">
      <alignment horizontal="center"/>
    </xf>
    <xf numFmtId="176" fontId="0" fillId="24" borderId="0" xfId="0" applyNumberFormat="1" applyFill="1" applyAlignment="1">
      <alignment/>
    </xf>
    <xf numFmtId="0" fontId="21" fillId="24" borderId="0" xfId="0" applyFont="1" applyFill="1" applyAlignment="1">
      <alignment/>
    </xf>
    <xf numFmtId="0" fontId="4" fillId="24" borderId="10" xfId="0" applyFont="1" applyFill="1" applyBorder="1" applyAlignment="1">
      <alignment horizontal="left" indent="3"/>
    </xf>
    <xf numFmtId="174" fontId="4" fillId="24" borderId="10" xfId="0" applyNumberFormat="1" applyFont="1" applyFill="1" applyBorder="1" applyAlignment="1" applyProtection="1">
      <alignment horizontal="center"/>
      <protection locked="0"/>
    </xf>
    <xf numFmtId="172" fontId="4" fillId="0" borderId="10" xfId="50" applyNumberFormat="1" applyFont="1" applyBorder="1" applyAlignment="1">
      <alignment horizontal="center"/>
    </xf>
    <xf numFmtId="173" fontId="22" fillId="24" borderId="0" xfId="54" applyNumberFormat="1" applyFont="1" applyFill="1">
      <alignment/>
      <protection/>
    </xf>
    <xf numFmtId="0" fontId="4" fillId="24" borderId="10" xfId="0" applyFont="1" applyFill="1" applyBorder="1" applyAlignment="1">
      <alignment horizontal="left" indent="5"/>
    </xf>
    <xf numFmtId="3" fontId="22" fillId="0" borderId="15" xfId="56" applyNumberFormat="1" applyFont="1" applyFill="1" applyBorder="1" applyAlignment="1" applyProtection="1">
      <alignment horizontal="right" vertical="center"/>
      <protection locked="0"/>
    </xf>
    <xf numFmtId="0" fontId="5" fillId="0" borderId="10" xfId="55" applyFont="1" applyBorder="1" applyAlignment="1">
      <alignment horizontal="left" indent="5"/>
      <protection/>
    </xf>
    <xf numFmtId="174" fontId="5" fillId="0" borderId="10" xfId="58" applyNumberFormat="1" applyFont="1" applyBorder="1" applyAlignment="1">
      <alignment/>
    </xf>
    <xf numFmtId="0" fontId="22" fillId="0" borderId="10" xfId="0" applyFont="1" applyBorder="1" applyAlignment="1">
      <alignment horizontal="left" vertical="center" indent="7"/>
    </xf>
    <xf numFmtId="0" fontId="22" fillId="0" borderId="10" xfId="0" applyFont="1" applyBorder="1" applyAlignment="1">
      <alignment horizontal="left" vertical="center" indent="8"/>
    </xf>
    <xf numFmtId="3" fontId="4" fillId="24" borderId="10" xfId="56" applyNumberFormat="1" applyFont="1" applyFill="1" applyBorder="1" applyAlignment="1">
      <alignment horizontal="right"/>
      <protection/>
    </xf>
    <xf numFmtId="0" fontId="22" fillId="0" borderId="10" xfId="0" applyFont="1" applyBorder="1" applyAlignment="1">
      <alignment horizontal="center" vertical="center"/>
    </xf>
    <xf numFmtId="0" fontId="4" fillId="24" borderId="15" xfId="0" applyFont="1" applyFill="1" applyBorder="1" applyAlignment="1">
      <alignment horizontal="left" indent="5"/>
    </xf>
    <xf numFmtId="3" fontId="22" fillId="0" borderId="15" xfId="56" applyNumberFormat="1" applyFont="1" applyFill="1" applyBorder="1" applyAlignment="1" applyProtection="1">
      <alignment horizontal="center" vertical="center"/>
      <protection locked="0"/>
    </xf>
    <xf numFmtId="3" fontId="25" fillId="24" borderId="10" xfId="0" applyNumberFormat="1" applyFont="1" applyFill="1" applyBorder="1" applyAlignment="1">
      <alignment horizontal="center"/>
    </xf>
    <xf numFmtId="174" fontId="0" fillId="24" borderId="10" xfId="58" applyNumberFormat="1" applyFont="1" applyFill="1" applyBorder="1" applyAlignment="1">
      <alignment horizontal="center"/>
    </xf>
    <xf numFmtId="177" fontId="0" fillId="24" borderId="10" xfId="0" applyNumberFormat="1" applyFill="1" applyBorder="1" applyAlignment="1">
      <alignment horizontal="center"/>
    </xf>
    <xf numFmtId="10" fontId="0" fillId="24" borderId="10" xfId="58" applyNumberFormat="1" applyFont="1" applyFill="1" applyBorder="1" applyAlignment="1">
      <alignment horizontal="center"/>
    </xf>
    <xf numFmtId="0" fontId="0" fillId="24" borderId="10" xfId="0" applyFill="1" applyBorder="1" applyAlignment="1">
      <alignment/>
    </xf>
    <xf numFmtId="174" fontId="0" fillId="24" borderId="10" xfId="0" applyNumberFormat="1" applyFill="1" applyBorder="1" applyAlignment="1">
      <alignment horizontal="center"/>
    </xf>
    <xf numFmtId="3" fontId="0" fillId="24" borderId="0" xfId="0" applyNumberFormat="1" applyFill="1" applyAlignment="1">
      <alignment/>
    </xf>
    <xf numFmtId="0" fontId="24" fillId="25" borderId="10" xfId="56" applyFont="1" applyFill="1" applyBorder="1" applyAlignment="1">
      <alignment horizontal="left" wrapText="1"/>
      <protection/>
    </xf>
    <xf numFmtId="3" fontId="4" fillId="0" borderId="10" xfId="50" applyNumberFormat="1" applyFont="1" applyFill="1" applyBorder="1" applyAlignment="1">
      <alignment horizontal="center"/>
    </xf>
    <xf numFmtId="10" fontId="22" fillId="0" borderId="10" xfId="58" applyNumberFormat="1" applyFont="1" applyFill="1" applyBorder="1" applyAlignment="1">
      <alignment horizontal="center"/>
    </xf>
    <xf numFmtId="172" fontId="4" fillId="0" borderId="10" xfId="50" applyNumberFormat="1" applyFont="1" applyFill="1" applyBorder="1" applyAlignment="1">
      <alignment horizontal="center"/>
    </xf>
    <xf numFmtId="0" fontId="23" fillId="8" borderId="13" xfId="22" applyFont="1" applyFill="1" applyBorder="1" applyAlignment="1">
      <alignment horizontal="center" vertical="center"/>
    </xf>
    <xf numFmtId="0" fontId="24" fillId="25" borderId="11" xfId="56" applyFont="1" applyFill="1" applyBorder="1" applyAlignment="1">
      <alignment horizontal="left" vertical="center" wrapText="1"/>
      <protection/>
    </xf>
    <xf numFmtId="0" fontId="24" fillId="25" borderId="12" xfId="56" applyFont="1" applyFill="1" applyBorder="1" applyAlignment="1">
      <alignment horizontal="left" vertical="center" wrapText="1"/>
      <protection/>
    </xf>
    <xf numFmtId="0" fontId="23" fillId="8" borderId="10" xfId="22" applyFont="1" applyFill="1" applyBorder="1" applyAlignment="1">
      <alignment horizontal="center" vertical="center"/>
    </xf>
    <xf numFmtId="0" fontId="24" fillId="18" borderId="18" xfId="56" applyFont="1" applyFill="1" applyBorder="1" applyAlignment="1">
      <alignment horizontal="center" vertical="center" wrapText="1"/>
      <protection/>
    </xf>
    <xf numFmtId="0" fontId="24" fillId="18" borderId="19" xfId="56" applyFont="1" applyFill="1" applyBorder="1" applyAlignment="1">
      <alignment horizontal="center" vertical="center" wrapText="1"/>
      <protection/>
    </xf>
    <xf numFmtId="0" fontId="24" fillId="18" borderId="20" xfId="56" applyFont="1" applyFill="1" applyBorder="1" applyAlignment="1">
      <alignment horizontal="center" vertical="center" wrapText="1"/>
      <protection/>
    </xf>
    <xf numFmtId="0" fontId="24" fillId="18" borderId="11" xfId="56" applyFont="1" applyFill="1" applyBorder="1" applyAlignment="1">
      <alignment horizontal="center" vertical="center" wrapText="1"/>
      <protection/>
    </xf>
    <xf numFmtId="0" fontId="24" fillId="18" borderId="14" xfId="56" applyFont="1" applyFill="1" applyBorder="1" applyAlignment="1">
      <alignment horizontal="center" vertical="center" wrapText="1"/>
      <protection/>
    </xf>
    <xf numFmtId="0" fontId="24" fillId="18" borderId="12" xfId="56" applyFont="1" applyFill="1" applyBorder="1" applyAlignment="1">
      <alignment horizontal="center" vertical="center" wrapText="1"/>
      <protection/>
    </xf>
    <xf numFmtId="0" fontId="24" fillId="18" borderId="15" xfId="56" applyFont="1" applyFill="1" applyBorder="1" applyAlignment="1">
      <alignment horizontal="center" vertical="center" wrapText="1"/>
      <protection/>
    </xf>
    <xf numFmtId="0" fontId="24" fillId="18" borderId="13" xfId="56" applyFont="1" applyFill="1" applyBorder="1" applyAlignment="1">
      <alignment horizontal="center" vertical="center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 2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pues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ro de Control"/>
      <sheetName val="Resultados"/>
      <sheetName val="Mercado"/>
      <sheetName val="Operadores"/>
      <sheetName val="Red de Servicio"/>
      <sheetName val="Opex"/>
      <sheetName val="Capex"/>
      <sheetName val="Financieros"/>
    </sheetNames>
    <sheetDataSet>
      <sheetData sheetId="0">
        <row r="7">
          <cell r="B7" t="str">
            <v>Masivo Puro</v>
          </cell>
          <cell r="S7" t="str">
            <v>Masivo Puro</v>
          </cell>
        </row>
        <row r="8">
          <cell r="S8" t="str">
            <v>Integrado Tipo I</v>
          </cell>
        </row>
        <row r="9">
          <cell r="S9" t="str">
            <v>Integrado intensivo en masivos</v>
          </cell>
        </row>
        <row r="10">
          <cell r="B10" t="str">
            <v>Escenario Básico</v>
          </cell>
        </row>
        <row r="12">
          <cell r="S12" t="str">
            <v>Escenario Básico</v>
          </cell>
        </row>
        <row r="13">
          <cell r="B13" t="str">
            <v>Participación Actual 2009</v>
          </cell>
          <cell r="S13" t="str">
            <v>Escenario Optimista</v>
          </cell>
        </row>
        <row r="14">
          <cell r="S14" t="str">
            <v>Escenario Pesimista</v>
          </cell>
        </row>
        <row r="15">
          <cell r="S15" t="str">
            <v>Otro Escenario</v>
          </cell>
        </row>
        <row r="17">
          <cell r="S17" t="str">
            <v>Participación Actual 2009</v>
          </cell>
        </row>
        <row r="19">
          <cell r="B19" t="str">
            <v>Excluir Elasticidad</v>
          </cell>
        </row>
        <row r="22">
          <cell r="B22" t="str">
            <v>Modelo Eficiente</v>
          </cell>
        </row>
        <row r="26">
          <cell r="B26">
            <v>5</v>
          </cell>
          <cell r="S26" t="str">
            <v>Excluir Elasticidad</v>
          </cell>
        </row>
        <row r="27">
          <cell r="S27" t="str">
            <v>Incluir Elasticidad</v>
          </cell>
        </row>
        <row r="31">
          <cell r="S31" t="str">
            <v>Modelo Eficiente</v>
          </cell>
        </row>
        <row r="34">
          <cell r="B34" t="str">
            <v>Modelo Eficiente</v>
          </cell>
          <cell r="S34">
            <v>5</v>
          </cell>
        </row>
        <row r="35">
          <cell r="S35">
            <v>4</v>
          </cell>
        </row>
        <row r="36">
          <cell r="S36">
            <v>3</v>
          </cell>
        </row>
        <row r="37">
          <cell r="B37">
            <v>0</v>
          </cell>
          <cell r="S37">
            <v>2</v>
          </cell>
        </row>
        <row r="38">
          <cell r="S38">
            <v>6</v>
          </cell>
        </row>
        <row r="41">
          <cell r="B41" t="str">
            <v>Modelo Eficiente</v>
          </cell>
          <cell r="S41" t="str">
            <v>Modelo Eficiente</v>
          </cell>
        </row>
        <row r="47">
          <cell r="B47" t="str">
            <v>Modelo Eficiente</v>
          </cell>
        </row>
        <row r="50">
          <cell r="B50" t="str">
            <v>Modelo Eficiente</v>
          </cell>
        </row>
        <row r="53">
          <cell r="B53" t="str">
            <v>Modelo Eficiente</v>
          </cell>
          <cell r="S53" t="str">
            <v>Modelo Eficiente</v>
          </cell>
        </row>
        <row r="56">
          <cell r="B56" t="str">
            <v>Modelo Eficiente</v>
          </cell>
        </row>
        <row r="59">
          <cell r="B59" t="str">
            <v>Modelo Eficiente</v>
          </cell>
        </row>
        <row r="62">
          <cell r="B62" t="str">
            <v>Modelo Eficiente</v>
          </cell>
        </row>
        <row r="65">
          <cell r="S65" t="str">
            <v>Modelo Eficiente</v>
          </cell>
        </row>
        <row r="67">
          <cell r="S67">
            <v>3</v>
          </cell>
        </row>
        <row r="68">
          <cell r="S68">
            <v>4</v>
          </cell>
        </row>
        <row r="69">
          <cell r="S69">
            <v>5</v>
          </cell>
        </row>
        <row r="73">
          <cell r="S73" t="str">
            <v>Terminal portátil</v>
          </cell>
        </row>
        <row r="74">
          <cell r="S74" t="str">
            <v>Código de barras</v>
          </cell>
        </row>
        <row r="77">
          <cell r="S77" t="str">
            <v>Modelo Eficiente</v>
          </cell>
        </row>
        <row r="78">
          <cell r="S78" t="str">
            <v>Terminal portátil</v>
          </cell>
        </row>
        <row r="79">
          <cell r="S79" t="str">
            <v>Código de barras</v>
          </cell>
        </row>
        <row r="82">
          <cell r="S82" t="str">
            <v>Modelo Eficiente</v>
          </cell>
        </row>
        <row r="89">
          <cell r="S89" t="str">
            <v>Modelo Eficiente</v>
          </cell>
        </row>
        <row r="90">
          <cell r="S90" t="str">
            <v>Línea 9-800</v>
          </cell>
        </row>
        <row r="94">
          <cell r="S94" t="str">
            <v>Modelo Eficiente</v>
          </cell>
        </row>
      </sheetData>
      <sheetData sheetId="2">
        <row r="9">
          <cell r="C9">
            <v>421.803121</v>
          </cell>
          <cell r="D9">
            <v>447.111308381395</v>
          </cell>
          <cell r="E9">
            <v>473.9379870129575</v>
          </cell>
          <cell r="F9">
            <v>502.3742663701344</v>
          </cell>
          <cell r="G9">
            <v>532.5167224969259</v>
          </cell>
          <cell r="H9">
            <v>564.467726</v>
          </cell>
          <cell r="I9">
            <v>598.3357894549829</v>
          </cell>
          <cell r="J9">
            <v>634.2359367109638</v>
          </cell>
          <cell r="K9">
            <v>672.2900927956243</v>
          </cell>
          <cell r="L9">
            <v>712.6274982382847</v>
          </cell>
          <cell r="M9">
            <v>755.385148</v>
          </cell>
        </row>
        <row r="10">
          <cell r="C10">
            <v>89.928769</v>
          </cell>
          <cell r="D10">
            <v>93.53297471238834</v>
          </cell>
          <cell r="E10">
            <v>97.28166612607158</v>
          </cell>
          <cell r="F10">
            <v>101.18063695537434</v>
          </cell>
          <cell r="G10">
            <v>105.23591330607627</v>
          </cell>
          <cell r="H10">
            <v>109.453763</v>
          </cell>
          <cell r="I10">
            <v>113.8407051327914</v>
          </cell>
          <cell r="J10">
            <v>118.40352057335244</v>
          </cell>
          <cell r="K10">
            <v>123.14926205699686</v>
          </cell>
          <cell r="L10">
            <v>128.08526522958564</v>
          </cell>
          <cell r="M10">
            <v>133.21916</v>
          </cell>
        </row>
        <row r="12">
          <cell r="C12">
            <v>372.4388</v>
          </cell>
          <cell r="D12">
            <v>374.8952228713985</v>
          </cell>
          <cell r="E12">
            <v>377.3678470980885</v>
          </cell>
          <cell r="F12">
            <v>379.85677953622906</v>
          </cell>
          <cell r="G12">
            <v>382.36212774675</v>
          </cell>
          <cell r="H12">
            <v>384.884</v>
          </cell>
          <cell r="I12">
            <v>377.6956385342714</v>
          </cell>
          <cell r="J12">
            <v>370.6415319104223</v>
          </cell>
          <cell r="K12">
            <v>363.71917269158365</v>
          </cell>
          <cell r="L12">
            <v>356.92610027152233</v>
          </cell>
          <cell r="M12">
            <v>350.2599</v>
          </cell>
        </row>
        <row r="13">
          <cell r="C13">
            <v>4001.300235625501</v>
          </cell>
          <cell r="D13">
            <v>3889.531231479988</v>
          </cell>
          <cell r="E13">
            <v>3781.1798770359624</v>
          </cell>
          <cell r="F13">
            <v>3676.138804704713</v>
          </cell>
          <cell r="G13">
            <v>3574.3040446869045</v>
          </cell>
          <cell r="H13">
            <v>3475.5749172479577</v>
          </cell>
          <cell r="I13">
            <v>3357.3671893745804</v>
          </cell>
          <cell r="J13">
            <v>3243.282378854072</v>
          </cell>
          <cell r="K13">
            <v>3133.174214187063</v>
          </cell>
          <cell r="L13">
            <v>3026.9016710889696</v>
          </cell>
          <cell r="M13">
            <v>2924.3287829286046</v>
          </cell>
        </row>
        <row r="16">
          <cell r="C16">
            <v>421.803121</v>
          </cell>
          <cell r="D16">
            <v>447.111308381395</v>
          </cell>
          <cell r="E16">
            <v>473.9379870129575</v>
          </cell>
          <cell r="F16">
            <v>502.3742663701344</v>
          </cell>
          <cell r="G16">
            <v>532.5167224969259</v>
          </cell>
          <cell r="H16">
            <v>564.467726</v>
          </cell>
          <cell r="I16">
            <v>609.6251440418888</v>
          </cell>
          <cell r="J16">
            <v>658.3951555240799</v>
          </cell>
          <cell r="K16">
            <v>711.0667679215534</v>
          </cell>
          <cell r="L16">
            <v>767.9521093072685</v>
          </cell>
          <cell r="M16">
            <v>829.388278</v>
          </cell>
        </row>
        <row r="17">
          <cell r="C17">
            <v>89.928769</v>
          </cell>
          <cell r="D17">
            <v>93.53297471238834</v>
          </cell>
          <cell r="E17">
            <v>97.28166612607158</v>
          </cell>
          <cell r="F17">
            <v>101.18063695537434</v>
          </cell>
          <cell r="G17">
            <v>105.23591330607627</v>
          </cell>
          <cell r="H17">
            <v>109.453763</v>
          </cell>
          <cell r="I17">
            <v>114.92645104088582</v>
          </cell>
          <cell r="J17">
            <v>120.67277347836023</v>
          </cell>
          <cell r="K17">
            <v>126.7064120319799</v>
          </cell>
          <cell r="L17">
            <v>133.04173250726564</v>
          </cell>
          <cell r="M17">
            <v>139.693819</v>
          </cell>
        </row>
        <row r="19">
          <cell r="C19">
            <v>372.4388</v>
          </cell>
          <cell r="D19">
            <v>384.1773902155997</v>
          </cell>
          <cell r="E19">
            <v>396.2859593384716</v>
          </cell>
          <cell r="F19">
            <v>408.7761684275089</v>
          </cell>
          <cell r="G19">
            <v>421.66004607686625</v>
          </cell>
          <cell r="H19">
            <v>434.95</v>
          </cell>
          <cell r="I19">
            <v>427.11997536009324</v>
          </cell>
          <cell r="J19">
            <v>419.4309078091888</v>
          </cell>
          <cell r="K19">
            <v>411.8802598200305</v>
          </cell>
          <cell r="L19">
            <v>404.46553954624727</v>
          </cell>
          <cell r="M19">
            <v>397.1843</v>
          </cell>
        </row>
        <row r="20">
          <cell r="C20">
            <v>4001.300235625501</v>
          </cell>
          <cell r="D20">
            <v>3901.255762330086</v>
          </cell>
          <cell r="E20">
            <v>3803.8807886220047</v>
          </cell>
          <cell r="F20">
            <v>3709.102147908247</v>
          </cell>
          <cell r="G20">
            <v>3616.848699563402</v>
          </cell>
          <cell r="H20">
            <v>3527.0512726229676</v>
          </cell>
          <cell r="I20">
            <v>3447.9087746809737</v>
          </cell>
          <cell r="J20">
            <v>3370.5827197009644</v>
          </cell>
          <cell r="K20">
            <v>3295.0307598380377</v>
          </cell>
          <cell r="L20">
            <v>3221.211544947033</v>
          </cell>
          <cell r="M20">
            <v>3149.084698914607</v>
          </cell>
        </row>
        <row r="23">
          <cell r="C23">
            <v>421.803121</v>
          </cell>
          <cell r="D23">
            <v>442.8932771590481</v>
          </cell>
          <cell r="E23">
            <v>465.0379411315011</v>
          </cell>
          <cell r="F23">
            <v>488.28983830830174</v>
          </cell>
          <cell r="G23">
            <v>512.7043303499537</v>
          </cell>
          <cell r="H23">
            <v>538.339547</v>
          </cell>
          <cell r="I23">
            <v>562.5648266492526</v>
          </cell>
          <cell r="J23">
            <v>587.8802438842629</v>
          </cell>
          <cell r="K23">
            <v>614.3348548964594</v>
          </cell>
          <cell r="L23">
            <v>641.979923405888</v>
          </cell>
          <cell r="M23">
            <v>670.86902</v>
          </cell>
        </row>
        <row r="24">
          <cell r="C24">
            <v>89.928769</v>
          </cell>
          <cell r="D24">
            <v>92.64074190325873</v>
          </cell>
          <cell r="E24">
            <v>95.43463838649274</v>
          </cell>
          <cell r="F24">
            <v>98.31293873279121</v>
          </cell>
          <cell r="G24">
            <v>101.27819853676235</v>
          </cell>
          <cell r="H24">
            <v>104.33305100000001</v>
          </cell>
          <cell r="I24">
            <v>106.94996093658386</v>
          </cell>
          <cell r="J24">
            <v>109.63255113122938</v>
          </cell>
          <cell r="K24">
            <v>112.38247131567408</v>
          </cell>
          <cell r="L24">
            <v>115.20141269670745</v>
          </cell>
          <cell r="M24">
            <v>118.091109</v>
          </cell>
        </row>
        <row r="26">
          <cell r="C26">
            <v>372.4388</v>
          </cell>
          <cell r="D26">
            <v>367.49803241232104</v>
          </cell>
          <cell r="E26">
            <v>362.6228089740579</v>
          </cell>
          <cell r="F26">
            <v>357.81226017749816</v>
          </cell>
          <cell r="G26">
            <v>353.0655280498059</v>
          </cell>
          <cell r="H26">
            <v>348.381766</v>
          </cell>
          <cell r="I26">
            <v>343.4669282586627</v>
          </cell>
          <cell r="J26">
            <v>338.62142718296377</v>
          </cell>
          <cell r="K26">
            <v>333.84428459753826</v>
          </cell>
          <cell r="L26">
            <v>329.1345361267479</v>
          </cell>
          <cell r="M26">
            <v>324.491231</v>
          </cell>
        </row>
        <row r="27">
          <cell r="C27">
            <v>4001.300235625501</v>
          </cell>
          <cell r="D27">
            <v>3899.3035775791245</v>
          </cell>
          <cell r="E27">
            <v>3800.2182132373064</v>
          </cell>
          <cell r="F27">
            <v>3703.959097047203</v>
          </cell>
          <cell r="G27">
            <v>3610.4436766832955</v>
          </cell>
          <cell r="H27">
            <v>3519.591819934213</v>
          </cell>
          <cell r="I27">
            <v>3442.257729401936</v>
          </cell>
          <cell r="J27">
            <v>3366.729052864695</v>
          </cell>
          <cell r="K27">
            <v>3292.9624248173527</v>
          </cell>
          <cell r="L27">
            <v>3220.9155343220564</v>
          </cell>
          <cell r="M27">
            <v>3150.5470992318897</v>
          </cell>
        </row>
        <row r="30">
          <cell r="C30">
            <v>421.803121</v>
          </cell>
          <cell r="D30">
            <v>470</v>
          </cell>
          <cell r="E30">
            <v>520</v>
          </cell>
          <cell r="F30">
            <v>570</v>
          </cell>
          <cell r="G30">
            <v>620</v>
          </cell>
          <cell r="H30">
            <v>670</v>
          </cell>
          <cell r="I30">
            <v>720</v>
          </cell>
          <cell r="J30">
            <v>770</v>
          </cell>
          <cell r="K30">
            <v>820</v>
          </cell>
          <cell r="L30">
            <v>870</v>
          </cell>
          <cell r="M30">
            <v>920</v>
          </cell>
        </row>
        <row r="31">
          <cell r="C31">
            <v>89.928769</v>
          </cell>
          <cell r="D31">
            <v>96</v>
          </cell>
          <cell r="E31">
            <v>102</v>
          </cell>
          <cell r="F31">
            <v>108</v>
          </cell>
          <cell r="G31">
            <v>114</v>
          </cell>
          <cell r="H31">
            <v>120</v>
          </cell>
          <cell r="I31">
            <v>126</v>
          </cell>
          <cell r="J31">
            <v>132</v>
          </cell>
          <cell r="K31">
            <v>138</v>
          </cell>
          <cell r="L31">
            <v>144</v>
          </cell>
          <cell r="M31">
            <v>150</v>
          </cell>
        </row>
        <row r="33">
          <cell r="C33">
            <v>372.4388</v>
          </cell>
          <cell r="D33">
            <v>365</v>
          </cell>
          <cell r="E33">
            <v>365</v>
          </cell>
          <cell r="F33">
            <v>360</v>
          </cell>
          <cell r="G33">
            <v>350</v>
          </cell>
          <cell r="H33">
            <v>350</v>
          </cell>
          <cell r="I33">
            <v>340</v>
          </cell>
          <cell r="J33">
            <v>340</v>
          </cell>
          <cell r="K33">
            <v>330</v>
          </cell>
          <cell r="L33">
            <v>330</v>
          </cell>
          <cell r="M33">
            <v>320</v>
          </cell>
        </row>
        <row r="34">
          <cell r="C34">
            <v>4001.300235625501</v>
          </cell>
          <cell r="D34">
            <v>3900</v>
          </cell>
          <cell r="E34">
            <v>3800.2182132373064</v>
          </cell>
          <cell r="F34">
            <v>3700</v>
          </cell>
          <cell r="G34">
            <v>3600</v>
          </cell>
          <cell r="H34">
            <v>3500</v>
          </cell>
          <cell r="I34">
            <v>3400</v>
          </cell>
          <cell r="J34">
            <v>3400</v>
          </cell>
          <cell r="K34">
            <v>3300</v>
          </cell>
          <cell r="L34">
            <v>3200</v>
          </cell>
          <cell r="M34">
            <v>3100</v>
          </cell>
        </row>
        <row r="36">
          <cell r="C36">
            <v>0.78</v>
          </cell>
        </row>
        <row r="37">
          <cell r="C37">
            <v>0.382</v>
          </cell>
        </row>
        <row r="39">
          <cell r="C39">
            <v>0.02</v>
          </cell>
        </row>
        <row r="40">
          <cell r="C40">
            <v>0.03</v>
          </cell>
        </row>
        <row r="42">
          <cell r="C42">
            <v>0.25871801771199426</v>
          </cell>
          <cell r="D42">
            <v>0.0029779373959822686</v>
          </cell>
        </row>
        <row r="43">
          <cell r="C43">
            <v>0.04103604078570122</v>
          </cell>
          <cell r="D43">
            <v>0.14403934214439218</v>
          </cell>
        </row>
        <row r="44">
          <cell r="C44">
            <v>0.16110596772943273</v>
          </cell>
          <cell r="D44">
            <v>0.16392974310590197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</sheetData>
      <sheetData sheetId="4">
        <row r="8">
          <cell r="C8" t="str">
            <v>BOGOTA</v>
          </cell>
          <cell r="D8" t="str">
            <v>BOGOTA</v>
          </cell>
          <cell r="E8">
            <v>6763325</v>
          </cell>
          <cell r="F8">
            <v>360415</v>
          </cell>
          <cell r="G8" t="str">
            <v>O</v>
          </cell>
          <cell r="R8">
            <v>337</v>
          </cell>
          <cell r="X8">
            <v>288</v>
          </cell>
        </row>
        <row r="9">
          <cell r="C9" t="str">
            <v>MEDELLIN</v>
          </cell>
          <cell r="D9" t="str">
            <v>ANTIOQUIA</v>
          </cell>
          <cell r="E9">
            <v>2183557</v>
          </cell>
          <cell r="F9">
            <v>99098</v>
          </cell>
          <cell r="G9" t="str">
            <v>N</v>
          </cell>
          <cell r="R9">
            <v>98</v>
          </cell>
          <cell r="X9">
            <v>103</v>
          </cell>
        </row>
        <row r="10">
          <cell r="C10" t="str">
            <v>CALI</v>
          </cell>
          <cell r="D10" t="str">
            <v>VALLE</v>
          </cell>
          <cell r="E10">
            <v>2039626</v>
          </cell>
          <cell r="F10">
            <v>74763</v>
          </cell>
          <cell r="G10" t="str">
            <v>N</v>
          </cell>
          <cell r="R10">
            <v>126</v>
          </cell>
          <cell r="X10">
            <v>114</v>
          </cell>
        </row>
        <row r="11">
          <cell r="C11" t="str">
            <v>BARRANQUILLA</v>
          </cell>
          <cell r="D11" t="str">
            <v>ATLANTICO</v>
          </cell>
          <cell r="E11">
            <v>1109067</v>
          </cell>
          <cell r="F11">
            <v>41791</v>
          </cell>
          <cell r="G11" t="str">
            <v>N</v>
          </cell>
          <cell r="R11">
            <v>67</v>
          </cell>
          <cell r="X11">
            <v>68</v>
          </cell>
        </row>
        <row r="12">
          <cell r="C12" t="str">
            <v>CARTAGENA</v>
          </cell>
          <cell r="D12" t="str">
            <v>BOLIVAR</v>
          </cell>
          <cell r="E12">
            <v>845801</v>
          </cell>
          <cell r="F12">
            <v>24458</v>
          </cell>
          <cell r="G12" t="str">
            <v>M</v>
          </cell>
          <cell r="R12">
            <v>30</v>
          </cell>
          <cell r="X12">
            <v>38</v>
          </cell>
        </row>
        <row r="13">
          <cell r="C13" t="str">
            <v>CUCUTA</v>
          </cell>
          <cell r="D13" t="str">
            <v>NORTE DE SANTANDER</v>
          </cell>
          <cell r="E13">
            <v>566244</v>
          </cell>
          <cell r="F13">
            <v>22086</v>
          </cell>
          <cell r="G13" t="str">
            <v>M</v>
          </cell>
          <cell r="R13">
            <v>36</v>
          </cell>
          <cell r="X13">
            <v>34</v>
          </cell>
        </row>
        <row r="14">
          <cell r="C14" t="str">
            <v>BUCARAMANGA</v>
          </cell>
          <cell r="D14" t="str">
            <v>SANTANDER</v>
          </cell>
          <cell r="E14">
            <v>502654</v>
          </cell>
          <cell r="F14">
            <v>35868</v>
          </cell>
          <cell r="G14" t="str">
            <v>M</v>
          </cell>
          <cell r="R14">
            <v>61</v>
          </cell>
          <cell r="X14">
            <v>82</v>
          </cell>
        </row>
        <row r="15">
          <cell r="C15" t="str">
            <v>IBAGUE</v>
          </cell>
          <cell r="D15" t="str">
            <v>TOLIMA</v>
          </cell>
          <cell r="E15">
            <v>465859</v>
          </cell>
          <cell r="F15">
            <v>22658</v>
          </cell>
          <cell r="G15" t="str">
            <v>N</v>
          </cell>
          <cell r="R15">
            <v>33</v>
          </cell>
          <cell r="X15">
            <v>28</v>
          </cell>
        </row>
        <row r="16">
          <cell r="C16" t="str">
            <v>SOLEDAD</v>
          </cell>
          <cell r="D16" t="str">
            <v>ATLANTICO</v>
          </cell>
          <cell r="E16">
            <v>455029</v>
          </cell>
          <cell r="F16">
            <v>13329</v>
          </cell>
          <cell r="G16" t="str">
            <v>E</v>
          </cell>
          <cell r="R16">
            <v>2</v>
          </cell>
          <cell r="X16">
            <v>5</v>
          </cell>
        </row>
        <row r="17">
          <cell r="C17" t="str">
            <v>SOACHA</v>
          </cell>
          <cell r="D17" t="str">
            <v>CUNDINAMARCA</v>
          </cell>
          <cell r="E17">
            <v>393006</v>
          </cell>
          <cell r="F17">
            <v>18354</v>
          </cell>
          <cell r="G17" t="str">
            <v>G</v>
          </cell>
          <cell r="R17">
            <v>0</v>
          </cell>
          <cell r="X17">
            <v>5</v>
          </cell>
        </row>
        <row r="18">
          <cell r="C18" t="str">
            <v>SANTA MARTA</v>
          </cell>
          <cell r="D18" t="str">
            <v>MAGDALENA</v>
          </cell>
          <cell r="E18">
            <v>383991</v>
          </cell>
          <cell r="F18">
            <v>11529</v>
          </cell>
          <cell r="G18" t="str">
            <v>K</v>
          </cell>
          <cell r="R18">
            <v>12</v>
          </cell>
          <cell r="X18">
            <v>27</v>
          </cell>
        </row>
        <row r="19">
          <cell r="C19" t="str">
            <v>VILLAVICENCIO</v>
          </cell>
          <cell r="D19" t="str">
            <v>META</v>
          </cell>
          <cell r="E19">
            <v>361058</v>
          </cell>
          <cell r="F19">
            <v>17978</v>
          </cell>
          <cell r="G19" t="str">
            <v>M</v>
          </cell>
          <cell r="R19">
            <v>18</v>
          </cell>
          <cell r="X19">
            <v>24</v>
          </cell>
        </row>
        <row r="20">
          <cell r="C20" t="str">
            <v>BELLO</v>
          </cell>
          <cell r="D20" t="str">
            <v>ANTIOQUIA</v>
          </cell>
          <cell r="E20">
            <v>359404</v>
          </cell>
          <cell r="F20">
            <v>10616</v>
          </cell>
          <cell r="G20" t="str">
            <v>G</v>
          </cell>
          <cell r="R20">
            <v>3</v>
          </cell>
          <cell r="X20">
            <v>3</v>
          </cell>
        </row>
        <row r="21">
          <cell r="C21" t="str">
            <v>PEREIRA</v>
          </cell>
          <cell r="D21" t="str">
            <v>RISARALDA</v>
          </cell>
          <cell r="E21">
            <v>358681</v>
          </cell>
          <cell r="F21">
            <v>12606</v>
          </cell>
          <cell r="G21" t="str">
            <v>L</v>
          </cell>
          <cell r="R21">
            <v>27</v>
          </cell>
          <cell r="X21">
            <v>34</v>
          </cell>
        </row>
        <row r="22">
          <cell r="C22" t="str">
            <v>MANIZALES</v>
          </cell>
          <cell r="D22" t="str">
            <v>CALDAS</v>
          </cell>
          <cell r="E22">
            <v>342620</v>
          </cell>
          <cell r="F22">
            <v>9713</v>
          </cell>
          <cell r="G22" t="str">
            <v>M</v>
          </cell>
          <cell r="R22">
            <v>23</v>
          </cell>
          <cell r="X22">
            <v>25</v>
          </cell>
        </row>
        <row r="23">
          <cell r="C23" t="str">
            <v>PASTO</v>
          </cell>
          <cell r="D23" t="str">
            <v>NARIÑO</v>
          </cell>
          <cell r="E23">
            <v>312759</v>
          </cell>
          <cell r="F23">
            <v>21664</v>
          </cell>
          <cell r="G23" t="str">
            <v>L</v>
          </cell>
          <cell r="R23">
            <v>20</v>
          </cell>
          <cell r="X23">
            <v>17</v>
          </cell>
        </row>
        <row r="24">
          <cell r="C24" t="str">
            <v>NEIVA</v>
          </cell>
          <cell r="D24" t="str">
            <v>HUILA</v>
          </cell>
          <cell r="E24">
            <v>295412</v>
          </cell>
          <cell r="F24">
            <v>11301</v>
          </cell>
          <cell r="G24" t="str">
            <v>M</v>
          </cell>
          <cell r="R24">
            <v>14</v>
          </cell>
          <cell r="X24">
            <v>38</v>
          </cell>
        </row>
        <row r="25">
          <cell r="C25" t="str">
            <v>VALLEDUPAR</v>
          </cell>
          <cell r="D25" t="str">
            <v>CESAR</v>
          </cell>
          <cell r="E25">
            <v>294731</v>
          </cell>
          <cell r="F25">
            <v>11176</v>
          </cell>
          <cell r="G25" t="str">
            <v>J</v>
          </cell>
          <cell r="R25">
            <v>11</v>
          </cell>
          <cell r="X25">
            <v>15</v>
          </cell>
        </row>
        <row r="26">
          <cell r="C26" t="str">
            <v>BUENAVENTURA</v>
          </cell>
          <cell r="D26" t="str">
            <v>VALLE</v>
          </cell>
          <cell r="E26">
            <v>290457</v>
          </cell>
          <cell r="F26">
            <v>6810</v>
          </cell>
          <cell r="G26" t="str">
            <v>G</v>
          </cell>
          <cell r="R26">
            <v>3</v>
          </cell>
          <cell r="X26">
            <v>9</v>
          </cell>
        </row>
        <row r="27">
          <cell r="C27" t="str">
            <v>MONTERIA</v>
          </cell>
          <cell r="D27" t="str">
            <v>CORDOBA</v>
          </cell>
          <cell r="E27">
            <v>288192</v>
          </cell>
          <cell r="F27">
            <v>11502</v>
          </cell>
          <cell r="G27" t="str">
            <v>J</v>
          </cell>
          <cell r="R27">
            <v>9</v>
          </cell>
          <cell r="X27">
            <v>13</v>
          </cell>
        </row>
        <row r="28">
          <cell r="C28" t="str">
            <v>ARMENIA</v>
          </cell>
          <cell r="D28" t="str">
            <v>QUINDIO</v>
          </cell>
          <cell r="E28">
            <v>265020</v>
          </cell>
          <cell r="F28">
            <v>12045</v>
          </cell>
          <cell r="G28" t="str">
            <v>L</v>
          </cell>
          <cell r="R28">
            <v>12</v>
          </cell>
          <cell r="X28">
            <v>21</v>
          </cell>
        </row>
        <row r="29">
          <cell r="C29" t="str">
            <v>FLORIDA BLANCA</v>
          </cell>
          <cell r="D29" t="str">
            <v>SANTANDER</v>
          </cell>
          <cell r="E29">
            <v>241685</v>
          </cell>
          <cell r="F29">
            <v>7670</v>
          </cell>
          <cell r="G29" t="str">
            <v>B</v>
          </cell>
          <cell r="R29">
            <v>8</v>
          </cell>
          <cell r="X29">
            <v>12</v>
          </cell>
        </row>
        <row r="30">
          <cell r="C30" t="str">
            <v>POPAYAN</v>
          </cell>
          <cell r="D30" t="str">
            <v>CAUCA</v>
          </cell>
          <cell r="E30">
            <v>227840</v>
          </cell>
          <cell r="F30">
            <v>10529</v>
          </cell>
          <cell r="G30" t="str">
            <v>K</v>
          </cell>
          <cell r="R30">
            <v>10</v>
          </cell>
          <cell r="X30">
            <v>5</v>
          </cell>
        </row>
        <row r="31">
          <cell r="C31" t="str">
            <v>PALMIRA</v>
          </cell>
          <cell r="D31" t="str">
            <v>VALLE</v>
          </cell>
          <cell r="E31">
            <v>223049</v>
          </cell>
          <cell r="F31">
            <v>8643</v>
          </cell>
          <cell r="G31" t="str">
            <v>K</v>
          </cell>
          <cell r="R31">
            <v>4</v>
          </cell>
          <cell r="X31">
            <v>7</v>
          </cell>
        </row>
        <row r="32">
          <cell r="C32" t="str">
            <v>SINCELEJO</v>
          </cell>
          <cell r="D32" t="str">
            <v>SUCRE</v>
          </cell>
          <cell r="E32">
            <v>218430</v>
          </cell>
          <cell r="F32">
            <v>9532</v>
          </cell>
          <cell r="G32" t="str">
            <v>I</v>
          </cell>
          <cell r="R32">
            <v>4</v>
          </cell>
          <cell r="X32">
            <v>8</v>
          </cell>
        </row>
        <row r="33">
          <cell r="C33" t="str">
            <v>ITAGUI</v>
          </cell>
          <cell r="D33" t="str">
            <v>ANTIOQUIA</v>
          </cell>
          <cell r="E33">
            <v>213297</v>
          </cell>
          <cell r="F33">
            <v>12117</v>
          </cell>
          <cell r="G33" t="str">
            <v>G</v>
          </cell>
          <cell r="R33">
            <v>9</v>
          </cell>
          <cell r="X33">
            <v>9</v>
          </cell>
        </row>
        <row r="34">
          <cell r="C34" t="str">
            <v>BARRANCABERMEJA</v>
          </cell>
          <cell r="D34" t="str">
            <v>SANTANDER</v>
          </cell>
          <cell r="E34">
            <v>168307</v>
          </cell>
          <cell r="F34">
            <v>5881</v>
          </cell>
          <cell r="G34" t="str">
            <v>J</v>
          </cell>
          <cell r="R34">
            <v>10</v>
          </cell>
          <cell r="X34">
            <v>14</v>
          </cell>
        </row>
        <row r="35">
          <cell r="C35" t="str">
            <v>ENVIGADO</v>
          </cell>
          <cell r="D35" t="str">
            <v>ANTIOQUIA</v>
          </cell>
          <cell r="E35">
            <v>166742</v>
          </cell>
          <cell r="F35">
            <v>6155</v>
          </cell>
          <cell r="G35" t="str">
            <v>H</v>
          </cell>
          <cell r="R35">
            <v>6</v>
          </cell>
          <cell r="X35">
            <v>6</v>
          </cell>
        </row>
        <row r="36">
          <cell r="C36" t="str">
            <v>DOS QUEBRADAS</v>
          </cell>
          <cell r="D36" t="str">
            <v>RISARALDA</v>
          </cell>
          <cell r="E36">
            <v>164437</v>
          </cell>
          <cell r="F36">
            <v>5352</v>
          </cell>
          <cell r="G36" t="str">
            <v>G</v>
          </cell>
          <cell r="R36">
            <v>6</v>
          </cell>
          <cell r="X36">
            <v>7</v>
          </cell>
        </row>
        <row r="37">
          <cell r="C37" t="str">
            <v>TULUA</v>
          </cell>
          <cell r="D37" t="str">
            <v>VALLE</v>
          </cell>
          <cell r="E37">
            <v>157512</v>
          </cell>
          <cell r="F37">
            <v>11009</v>
          </cell>
          <cell r="G37" t="str">
            <v>J</v>
          </cell>
          <cell r="R37">
            <v>3</v>
          </cell>
          <cell r="X37">
            <v>8</v>
          </cell>
        </row>
        <row r="38">
          <cell r="C38" t="str">
            <v>TUNJA</v>
          </cell>
          <cell r="D38" t="str">
            <v>BOYACA</v>
          </cell>
          <cell r="E38">
            <v>145138</v>
          </cell>
          <cell r="F38">
            <v>7243</v>
          </cell>
          <cell r="G38" t="str">
            <v>L</v>
          </cell>
          <cell r="R38">
            <v>11</v>
          </cell>
          <cell r="X38">
            <v>14</v>
          </cell>
        </row>
        <row r="39">
          <cell r="C39" t="str">
            <v>RIOHACHA</v>
          </cell>
          <cell r="D39" t="str">
            <v>LA GUAJIRA</v>
          </cell>
          <cell r="E39">
            <v>137224</v>
          </cell>
          <cell r="F39">
            <v>4447</v>
          </cell>
          <cell r="G39" t="str">
            <v>G</v>
          </cell>
          <cell r="R39">
            <v>5</v>
          </cell>
          <cell r="X39">
            <v>5</v>
          </cell>
        </row>
        <row r="40">
          <cell r="C40" t="str">
            <v>FLORENCIA</v>
          </cell>
          <cell r="D40" t="str">
            <v>CAQUETA</v>
          </cell>
          <cell r="E40">
            <v>120403</v>
          </cell>
          <cell r="F40">
            <v>4620</v>
          </cell>
          <cell r="G40" t="str">
            <v>I</v>
          </cell>
          <cell r="R40">
            <v>6</v>
          </cell>
          <cell r="X40">
            <v>7</v>
          </cell>
        </row>
        <row r="41">
          <cell r="C41" t="str">
            <v>CARTAGO</v>
          </cell>
          <cell r="D41" t="str">
            <v>VALLE</v>
          </cell>
          <cell r="E41">
            <v>119063</v>
          </cell>
          <cell r="F41">
            <v>4479</v>
          </cell>
          <cell r="G41" t="str">
            <v>G</v>
          </cell>
          <cell r="R41">
            <v>4</v>
          </cell>
          <cell r="X41">
            <v>6</v>
          </cell>
        </row>
        <row r="42">
          <cell r="C42" t="str">
            <v>GIRON</v>
          </cell>
          <cell r="D42" t="str">
            <v>SANTANDER</v>
          </cell>
          <cell r="E42">
            <v>117672</v>
          </cell>
          <cell r="F42">
            <v>3063</v>
          </cell>
          <cell r="G42" t="str">
            <v>C</v>
          </cell>
          <cell r="R42">
            <v>4</v>
          </cell>
          <cell r="X42">
            <v>3</v>
          </cell>
        </row>
        <row r="43">
          <cell r="C43" t="str">
            <v>SOGAMOSO</v>
          </cell>
          <cell r="D43" t="str">
            <v>BOYACA</v>
          </cell>
          <cell r="E43">
            <v>94993</v>
          </cell>
          <cell r="F43">
            <v>7500</v>
          </cell>
          <cell r="G43" t="str">
            <v>H</v>
          </cell>
          <cell r="R43">
            <v>3</v>
          </cell>
          <cell r="X43">
            <v>9</v>
          </cell>
        </row>
        <row r="44">
          <cell r="C44" t="str">
            <v>FACATATIVA</v>
          </cell>
          <cell r="D44" t="str">
            <v>CUNDINAMARCA</v>
          </cell>
          <cell r="E44">
            <v>94359</v>
          </cell>
          <cell r="F44">
            <v>5088</v>
          </cell>
          <cell r="G44" t="str">
            <v>G</v>
          </cell>
          <cell r="R44">
            <v>3</v>
          </cell>
          <cell r="X44">
            <v>5</v>
          </cell>
        </row>
        <row r="45">
          <cell r="C45" t="str">
            <v>MALAMBO </v>
          </cell>
          <cell r="D45" t="str">
            <v>ATLANTICO</v>
          </cell>
          <cell r="E45">
            <v>93133</v>
          </cell>
          <cell r="F45">
            <v>2298</v>
          </cell>
          <cell r="G45" t="str">
            <v>G</v>
          </cell>
          <cell r="R45">
            <v>0</v>
          </cell>
          <cell r="X45">
            <v>1</v>
          </cell>
        </row>
        <row r="46">
          <cell r="C46" t="str">
            <v>PIEDECUESTA</v>
          </cell>
          <cell r="D46" t="str">
            <v>SANTANDER</v>
          </cell>
          <cell r="E46">
            <v>92351</v>
          </cell>
          <cell r="F46">
            <v>4446</v>
          </cell>
          <cell r="G46" t="str">
            <v>B</v>
          </cell>
          <cell r="R46">
            <v>2</v>
          </cell>
          <cell r="X46">
            <v>7</v>
          </cell>
        </row>
        <row r="47">
          <cell r="C47" t="str">
            <v>GIRARDOT</v>
          </cell>
          <cell r="D47" t="str">
            <v>CUNDINAMARCA</v>
          </cell>
          <cell r="E47">
            <v>92119</v>
          </cell>
          <cell r="F47">
            <v>5819</v>
          </cell>
          <cell r="G47" t="str">
            <v>M</v>
          </cell>
          <cell r="R47">
            <v>2</v>
          </cell>
          <cell r="X47">
            <v>8</v>
          </cell>
        </row>
        <row r="48">
          <cell r="C48" t="str">
            <v>DUITAMA</v>
          </cell>
          <cell r="D48" t="str">
            <v>BOYACA</v>
          </cell>
          <cell r="E48">
            <v>91747</v>
          </cell>
          <cell r="F48">
            <v>7003</v>
          </cell>
          <cell r="G48" t="str">
            <v>I</v>
          </cell>
          <cell r="R48">
            <v>4</v>
          </cell>
          <cell r="X48">
            <v>10</v>
          </cell>
        </row>
        <row r="49">
          <cell r="C49" t="str">
            <v>YOPAL</v>
          </cell>
          <cell r="D49" t="str">
            <v>CASANARE</v>
          </cell>
          <cell r="E49">
            <v>88928</v>
          </cell>
          <cell r="F49">
            <v>5237</v>
          </cell>
          <cell r="G49" t="str">
            <v>H</v>
          </cell>
          <cell r="R49">
            <v>4</v>
          </cell>
          <cell r="X49">
            <v>7</v>
          </cell>
        </row>
        <row r="50">
          <cell r="C50" t="str">
            <v>CIENAGA</v>
          </cell>
          <cell r="D50" t="str">
            <v>MAGDALENA</v>
          </cell>
          <cell r="E50">
            <v>87355</v>
          </cell>
          <cell r="F50">
            <v>1753</v>
          </cell>
          <cell r="G50" t="str">
            <v>G</v>
          </cell>
          <cell r="R50">
            <v>2</v>
          </cell>
          <cell r="X50">
            <v>2</v>
          </cell>
        </row>
        <row r="51">
          <cell r="C51" t="str">
            <v>ZIPAQUIRA</v>
          </cell>
          <cell r="D51" t="str">
            <v>CUNDINAMARCA</v>
          </cell>
          <cell r="E51">
            <v>87232</v>
          </cell>
          <cell r="F51">
            <v>4028</v>
          </cell>
          <cell r="G51" t="str">
            <v>H</v>
          </cell>
          <cell r="R51">
            <v>2</v>
          </cell>
          <cell r="X51">
            <v>3</v>
          </cell>
        </row>
        <row r="52">
          <cell r="C52" t="str">
            <v>YUMBO</v>
          </cell>
          <cell r="D52" t="str">
            <v>VALLE</v>
          </cell>
          <cell r="E52">
            <v>79569</v>
          </cell>
          <cell r="F52">
            <v>3211</v>
          </cell>
          <cell r="G52" t="str">
            <v>G</v>
          </cell>
          <cell r="R52">
            <v>4</v>
          </cell>
          <cell r="X52">
            <v>2</v>
          </cell>
        </row>
        <row r="53">
          <cell r="C53" t="str">
            <v>IPIALES</v>
          </cell>
          <cell r="D53" t="str">
            <v>NARIÑO</v>
          </cell>
          <cell r="E53">
            <v>74567</v>
          </cell>
          <cell r="F53">
            <v>3104</v>
          </cell>
          <cell r="G53" t="str">
            <v>G</v>
          </cell>
          <cell r="R53">
            <v>7</v>
          </cell>
          <cell r="X53">
            <v>3</v>
          </cell>
        </row>
        <row r="54">
          <cell r="C54" t="str">
            <v>CHIA</v>
          </cell>
          <cell r="D54" t="str">
            <v>CUNDINAMARCA</v>
          </cell>
          <cell r="E54">
            <v>73087</v>
          </cell>
          <cell r="F54">
            <v>4987</v>
          </cell>
          <cell r="G54" t="str">
            <v>H</v>
          </cell>
          <cell r="R54">
            <v>4</v>
          </cell>
          <cell r="X54">
            <v>8</v>
          </cell>
        </row>
        <row r="55">
          <cell r="C55" t="str">
            <v>VILLA DEL ROSARIO</v>
          </cell>
          <cell r="D55" t="str">
            <v>NORTE DE SANTANDER</v>
          </cell>
          <cell r="E55">
            <v>66910</v>
          </cell>
          <cell r="F55">
            <v>1629</v>
          </cell>
          <cell r="G55" t="str">
            <v>F</v>
          </cell>
          <cell r="R55">
            <v>2</v>
          </cell>
          <cell r="X55">
            <v>1</v>
          </cell>
        </row>
        <row r="56">
          <cell r="C56" t="str">
            <v>LOS PATIOS</v>
          </cell>
          <cell r="D56" t="str">
            <v>NORTE DE SANTANDER</v>
          </cell>
          <cell r="E56">
            <v>65290</v>
          </cell>
          <cell r="F56">
            <v>1666</v>
          </cell>
          <cell r="G56" t="str">
            <v>G</v>
          </cell>
          <cell r="R56">
            <v>1</v>
          </cell>
          <cell r="X56">
            <v>3</v>
          </cell>
        </row>
        <row r="57">
          <cell r="C57" t="str">
            <v>JAMUNDI</v>
          </cell>
          <cell r="D57" t="str">
            <v>VALLE</v>
          </cell>
          <cell r="E57">
            <v>65179</v>
          </cell>
          <cell r="F57">
            <v>2848</v>
          </cell>
          <cell r="G57" t="str">
            <v>G</v>
          </cell>
          <cell r="R57">
            <v>3</v>
          </cell>
          <cell r="X57">
            <v>2</v>
          </cell>
        </row>
        <row r="58">
          <cell r="C58" t="str">
            <v>MOSQUERA</v>
          </cell>
          <cell r="D58" t="str">
            <v>CUNDINAMARCA</v>
          </cell>
          <cell r="E58">
            <v>60392</v>
          </cell>
          <cell r="F58">
            <v>2143</v>
          </cell>
          <cell r="G58" t="str">
            <v>G</v>
          </cell>
          <cell r="R58">
            <v>3</v>
          </cell>
          <cell r="X58">
            <v>3</v>
          </cell>
        </row>
        <row r="59">
          <cell r="C59" t="str">
            <v>TURBACO</v>
          </cell>
          <cell r="D59" t="str">
            <v>BOLIVAR</v>
          </cell>
          <cell r="E59">
            <v>58134</v>
          </cell>
          <cell r="F59">
            <v>1196</v>
          </cell>
          <cell r="G59" t="str">
            <v>F</v>
          </cell>
          <cell r="R59">
            <v>0</v>
          </cell>
          <cell r="X59">
            <v>1</v>
          </cell>
        </row>
        <row r="60">
          <cell r="C60" t="str">
            <v>FUNZA</v>
          </cell>
          <cell r="D60" t="str">
            <v>CUNDINAMARCA</v>
          </cell>
          <cell r="E60">
            <v>56390</v>
          </cell>
          <cell r="F60">
            <v>1883</v>
          </cell>
          <cell r="G60" t="str">
            <v>G</v>
          </cell>
          <cell r="R60">
            <v>1</v>
          </cell>
          <cell r="X60">
            <v>3</v>
          </cell>
        </row>
        <row r="61">
          <cell r="C61" t="str">
            <v>CALARCA</v>
          </cell>
          <cell r="D61" t="str">
            <v>QUINDIO</v>
          </cell>
          <cell r="E61">
            <v>54639</v>
          </cell>
          <cell r="F61">
            <v>1810</v>
          </cell>
          <cell r="G61" t="str">
            <v>G</v>
          </cell>
          <cell r="R61">
            <v>1</v>
          </cell>
          <cell r="X61">
            <v>2</v>
          </cell>
        </row>
        <row r="62">
          <cell r="C62" t="str">
            <v>SANTA ROSA DE CABAL</v>
          </cell>
          <cell r="D62" t="str">
            <v>RISARALDA</v>
          </cell>
          <cell r="E62">
            <v>54407</v>
          </cell>
          <cell r="F62">
            <v>2682</v>
          </cell>
          <cell r="G62" t="str">
            <v>G</v>
          </cell>
          <cell r="R62">
            <v>2</v>
          </cell>
          <cell r="X62">
            <v>2</v>
          </cell>
        </row>
        <row r="63">
          <cell r="C63" t="str">
            <v>MADRID</v>
          </cell>
          <cell r="D63" t="str">
            <v>CUNDINAMARCA</v>
          </cell>
          <cell r="E63">
            <v>53181</v>
          </cell>
          <cell r="F63">
            <v>2016</v>
          </cell>
          <cell r="G63" t="str">
            <v>G</v>
          </cell>
          <cell r="R63">
            <v>0</v>
          </cell>
          <cell r="X63">
            <v>1</v>
          </cell>
        </row>
        <row r="64">
          <cell r="C64" t="str">
            <v>COPACABANA</v>
          </cell>
          <cell r="D64" t="str">
            <v>ANTIOQUIA</v>
          </cell>
          <cell r="E64">
            <v>53033</v>
          </cell>
          <cell r="F64">
            <v>2027</v>
          </cell>
          <cell r="G64" t="str">
            <v>F</v>
          </cell>
          <cell r="R64">
            <v>1</v>
          </cell>
          <cell r="X64">
            <v>1</v>
          </cell>
        </row>
        <row r="65">
          <cell r="C65" t="str">
            <v>CALDAS</v>
          </cell>
          <cell r="D65" t="str">
            <v>ANTIOQUIA</v>
          </cell>
          <cell r="E65">
            <v>52632</v>
          </cell>
          <cell r="F65">
            <v>2303</v>
          </cell>
          <cell r="G65" t="str">
            <v>H</v>
          </cell>
          <cell r="R65">
            <v>1</v>
          </cell>
          <cell r="X65">
            <v>1</v>
          </cell>
        </row>
        <row r="66">
          <cell r="C66" t="str">
            <v>ARJONA </v>
          </cell>
          <cell r="D66" t="str">
            <v>BOLIVAR</v>
          </cell>
          <cell r="E66">
            <v>47605</v>
          </cell>
          <cell r="F66">
            <v>1400</v>
          </cell>
          <cell r="G66" t="str">
            <v>D</v>
          </cell>
          <cell r="R66">
            <v>0</v>
          </cell>
          <cell r="X66">
            <v>1</v>
          </cell>
        </row>
        <row r="67">
          <cell r="C67" t="str">
            <v>ACACIAS</v>
          </cell>
          <cell r="D67" t="str">
            <v>META</v>
          </cell>
          <cell r="E67">
            <v>45289</v>
          </cell>
          <cell r="F67">
            <v>2283</v>
          </cell>
          <cell r="G67" t="str">
            <v>G</v>
          </cell>
          <cell r="R67">
            <v>2</v>
          </cell>
          <cell r="X67">
            <v>3</v>
          </cell>
        </row>
        <row r="68">
          <cell r="C68" t="str">
            <v>COROZAL</v>
          </cell>
          <cell r="D68" t="str">
            <v>SUCRE</v>
          </cell>
          <cell r="E68">
            <v>44831</v>
          </cell>
          <cell r="F68">
            <v>1499</v>
          </cell>
          <cell r="G68" t="str">
            <v>G</v>
          </cell>
          <cell r="R68">
            <v>2</v>
          </cell>
          <cell r="X68">
            <v>1</v>
          </cell>
        </row>
        <row r="69">
          <cell r="C69" t="str">
            <v>CHINCHINA</v>
          </cell>
          <cell r="D69" t="str">
            <v>CALDAS</v>
          </cell>
          <cell r="E69">
            <v>43448</v>
          </cell>
          <cell r="F69">
            <v>1560</v>
          </cell>
          <cell r="G69" t="str">
            <v>G</v>
          </cell>
          <cell r="R69">
            <v>2</v>
          </cell>
          <cell r="X69">
            <v>2</v>
          </cell>
        </row>
        <row r="70">
          <cell r="C70" t="str">
            <v>SAN ANDRES</v>
          </cell>
          <cell r="D70" t="str">
            <v>SAN ANDRES</v>
          </cell>
          <cell r="E70">
            <v>40902</v>
          </cell>
          <cell r="F70">
            <v>1872</v>
          </cell>
          <cell r="G70" t="str">
            <v>G</v>
          </cell>
          <cell r="R70">
            <v>0</v>
          </cell>
          <cell r="X70">
            <v>3</v>
          </cell>
        </row>
        <row r="71">
          <cell r="C71" t="str">
            <v>FLORIDA</v>
          </cell>
          <cell r="D71" t="str">
            <v>VALLE</v>
          </cell>
          <cell r="E71">
            <v>40070</v>
          </cell>
          <cell r="F71">
            <v>1728</v>
          </cell>
          <cell r="G71" t="str">
            <v>G</v>
          </cell>
          <cell r="R71">
            <v>1</v>
          </cell>
          <cell r="X71">
            <v>1</v>
          </cell>
        </row>
        <row r="72">
          <cell r="C72" t="str">
            <v>AGUSTIN CODAZZI</v>
          </cell>
          <cell r="D72" t="str">
            <v>CESAR</v>
          </cell>
          <cell r="E72">
            <v>37658</v>
          </cell>
          <cell r="F72">
            <v>1457</v>
          </cell>
          <cell r="G72" t="str">
            <v>F</v>
          </cell>
          <cell r="R72">
            <v>1</v>
          </cell>
          <cell r="X72">
            <v>1</v>
          </cell>
        </row>
        <row r="73">
          <cell r="C73" t="str">
            <v>VILLAMARIA</v>
          </cell>
          <cell r="D73" t="str">
            <v>CALDAS</v>
          </cell>
          <cell r="E73">
            <v>35772</v>
          </cell>
          <cell r="F73">
            <v>1584</v>
          </cell>
          <cell r="G73" t="str">
            <v>G</v>
          </cell>
          <cell r="R73">
            <v>0</v>
          </cell>
          <cell r="X73">
            <v>2</v>
          </cell>
        </row>
        <row r="74">
          <cell r="C74" t="str">
            <v>SABANETA</v>
          </cell>
          <cell r="D74" t="str">
            <v>ANTIOQUIA</v>
          </cell>
          <cell r="E74">
            <v>35528</v>
          </cell>
          <cell r="F74">
            <v>2111</v>
          </cell>
          <cell r="G74" t="str">
            <v>G</v>
          </cell>
          <cell r="R74">
            <v>3</v>
          </cell>
          <cell r="X74">
            <v>1</v>
          </cell>
        </row>
        <row r="75">
          <cell r="C75" t="str">
            <v>MONTENEGRO</v>
          </cell>
          <cell r="D75" t="str">
            <v>QUINDIO</v>
          </cell>
          <cell r="E75">
            <v>31252</v>
          </cell>
          <cell r="F75">
            <v>1337</v>
          </cell>
          <cell r="G75" t="str">
            <v>F</v>
          </cell>
          <cell r="R75">
            <v>1</v>
          </cell>
          <cell r="X75">
            <v>1</v>
          </cell>
        </row>
        <row r="76">
          <cell r="C76" t="str">
            <v>LA TEBAIDA</v>
          </cell>
          <cell r="D76" t="str">
            <v>QUINDIO</v>
          </cell>
          <cell r="E76">
            <v>29955</v>
          </cell>
          <cell r="F76">
            <v>1248</v>
          </cell>
          <cell r="G76" t="str">
            <v>F</v>
          </cell>
          <cell r="R76">
            <v>0</v>
          </cell>
          <cell r="X76">
            <v>1</v>
          </cell>
        </row>
        <row r="77">
          <cell r="C77" t="str">
            <v>LA VIRGINIA</v>
          </cell>
          <cell r="D77" t="str">
            <v>RISARALDA</v>
          </cell>
          <cell r="E77">
            <v>29546</v>
          </cell>
          <cell r="F77">
            <v>1471</v>
          </cell>
          <cell r="G77" t="str">
            <v>G</v>
          </cell>
          <cell r="R77">
            <v>1</v>
          </cell>
          <cell r="X77">
            <v>1</v>
          </cell>
        </row>
        <row r="78">
          <cell r="C78" t="str">
            <v>LA ESTRELLA</v>
          </cell>
          <cell r="D78" t="str">
            <v>ANTIOQUIA</v>
          </cell>
          <cell r="E78">
            <v>28538</v>
          </cell>
          <cell r="F78">
            <v>1050</v>
          </cell>
          <cell r="G78" t="str">
            <v>G</v>
          </cell>
          <cell r="R78">
            <v>2</v>
          </cell>
          <cell r="X78">
            <v>1</v>
          </cell>
        </row>
        <row r="79">
          <cell r="C79" t="str">
            <v>GALAPA</v>
          </cell>
          <cell r="D79" t="str">
            <v>ATLANTICO</v>
          </cell>
          <cell r="E79">
            <v>28337</v>
          </cell>
          <cell r="F79">
            <v>436</v>
          </cell>
          <cell r="G79" t="str">
            <v>D</v>
          </cell>
          <cell r="R79">
            <v>0</v>
          </cell>
          <cell r="X79">
            <v>1</v>
          </cell>
        </row>
        <row r="80">
          <cell r="C80" t="str">
            <v>CAJICA </v>
          </cell>
          <cell r="D80" t="str">
            <v>CUNDINAMARCA</v>
          </cell>
          <cell r="E80">
            <v>26824</v>
          </cell>
          <cell r="F80">
            <v>1057</v>
          </cell>
          <cell r="G80" t="str">
            <v>G</v>
          </cell>
          <cell r="R80">
            <v>2</v>
          </cell>
          <cell r="X80">
            <v>3</v>
          </cell>
        </row>
        <row r="81">
          <cell r="C81" t="str">
            <v>GIRARDOTA</v>
          </cell>
          <cell r="D81" t="str">
            <v>ANTIOQUIA</v>
          </cell>
          <cell r="E81">
            <v>25195</v>
          </cell>
          <cell r="F81">
            <v>771</v>
          </cell>
          <cell r="G81" t="str">
            <v>F</v>
          </cell>
          <cell r="R81">
            <v>0</v>
          </cell>
        </row>
        <row r="82">
          <cell r="C82" t="str">
            <v>FLANDES</v>
          </cell>
          <cell r="D82" t="str">
            <v>TOLIMA</v>
          </cell>
          <cell r="E82">
            <v>23484</v>
          </cell>
          <cell r="F82">
            <v>859</v>
          </cell>
          <cell r="G82" t="str">
            <v>G</v>
          </cell>
          <cell r="R82">
            <v>1</v>
          </cell>
        </row>
        <row r="83">
          <cell r="C83" t="str">
            <v>SIBATE</v>
          </cell>
          <cell r="D83" t="str">
            <v>CUNDINAMARCA</v>
          </cell>
          <cell r="E83">
            <v>20861</v>
          </cell>
          <cell r="F83">
            <v>647</v>
          </cell>
          <cell r="G83" t="str">
            <v>F</v>
          </cell>
          <cell r="R83">
            <v>0</v>
          </cell>
          <cell r="X83">
            <v>2</v>
          </cell>
        </row>
        <row r="84">
          <cell r="C84" t="str">
            <v>PUERTO COLOMBIA</v>
          </cell>
          <cell r="D84" t="str">
            <v>ATLANTICO</v>
          </cell>
          <cell r="E84">
            <v>20145</v>
          </cell>
          <cell r="F84">
            <v>461</v>
          </cell>
          <cell r="G84" t="str">
            <v>F</v>
          </cell>
          <cell r="R84">
            <v>0</v>
          </cell>
          <cell r="X84">
            <v>2</v>
          </cell>
        </row>
        <row r="85">
          <cell r="C85" t="str">
            <v>CIRCASIA</v>
          </cell>
          <cell r="D85" t="str">
            <v>QUINDIO</v>
          </cell>
          <cell r="E85">
            <v>19543</v>
          </cell>
          <cell r="F85">
            <v>909</v>
          </cell>
          <cell r="G85" t="str">
            <v>F</v>
          </cell>
          <cell r="R85">
            <v>0</v>
          </cell>
          <cell r="X85">
            <v>1</v>
          </cell>
        </row>
        <row r="86">
          <cell r="C86" t="str">
            <v>CANDELARIA</v>
          </cell>
          <cell r="D86" t="str">
            <v>VALLE</v>
          </cell>
          <cell r="E86">
            <v>19149</v>
          </cell>
          <cell r="F86">
            <v>1096</v>
          </cell>
          <cell r="G86" t="str">
            <v>G</v>
          </cell>
          <cell r="R86">
            <v>0</v>
          </cell>
          <cell r="X86">
            <v>3</v>
          </cell>
        </row>
        <row r="87">
          <cell r="C87" t="str">
            <v>BARBOSA</v>
          </cell>
          <cell r="D87" t="str">
            <v>ANTIOQUIA</v>
          </cell>
          <cell r="E87">
            <v>18721</v>
          </cell>
          <cell r="F87">
            <v>844</v>
          </cell>
          <cell r="G87" t="str">
            <v>F</v>
          </cell>
          <cell r="R87">
            <v>1</v>
          </cell>
          <cell r="X87">
            <v>1</v>
          </cell>
        </row>
        <row r="88">
          <cell r="C88" t="str">
            <v>SAMPUES</v>
          </cell>
          <cell r="D88" t="str">
            <v>SUCRE</v>
          </cell>
          <cell r="E88">
            <v>18329</v>
          </cell>
          <cell r="F88">
            <v>960</v>
          </cell>
          <cell r="G88" t="str">
            <v>F</v>
          </cell>
          <cell r="R88">
            <v>0</v>
          </cell>
          <cell r="X88">
            <v>1</v>
          </cell>
        </row>
        <row r="89">
          <cell r="C89" t="str">
            <v>MARIALABAJA</v>
          </cell>
          <cell r="D89" t="str">
            <v>BOLIVAR</v>
          </cell>
          <cell r="E89">
            <v>17888</v>
          </cell>
          <cell r="F89">
            <v>682</v>
          </cell>
          <cell r="G89" t="str">
            <v>D</v>
          </cell>
          <cell r="R89">
            <v>0</v>
          </cell>
          <cell r="X89">
            <v>1</v>
          </cell>
        </row>
        <row r="90">
          <cell r="C90" t="str">
            <v>TUQUERRES</v>
          </cell>
          <cell r="D90" t="str">
            <v>NARIÑO</v>
          </cell>
          <cell r="E90">
            <v>16489</v>
          </cell>
          <cell r="F90">
            <v>1677</v>
          </cell>
          <cell r="G90" t="str">
            <v>G</v>
          </cell>
          <cell r="R90">
            <v>1</v>
          </cell>
          <cell r="X90">
            <v>1</v>
          </cell>
        </row>
        <row r="91">
          <cell r="C91" t="str">
            <v>VILLANUEVA </v>
          </cell>
          <cell r="D91" t="str">
            <v>BOLIVAR</v>
          </cell>
          <cell r="E91">
            <v>15682</v>
          </cell>
          <cell r="F91">
            <v>427</v>
          </cell>
          <cell r="G91" t="str">
            <v>E</v>
          </cell>
          <cell r="R91">
            <v>0</v>
          </cell>
        </row>
        <row r="92">
          <cell r="C92" t="str">
            <v>PAIPA</v>
          </cell>
          <cell r="D92" t="str">
            <v>BOYACA</v>
          </cell>
          <cell r="E92">
            <v>15246</v>
          </cell>
          <cell r="F92">
            <v>937</v>
          </cell>
          <cell r="G92" t="str">
            <v>F</v>
          </cell>
          <cell r="R92">
            <v>2</v>
          </cell>
          <cell r="X92">
            <v>2</v>
          </cell>
        </row>
        <row r="93">
          <cell r="C93" t="str">
            <v>NEIRA</v>
          </cell>
          <cell r="D93" t="str">
            <v>CALDAS</v>
          </cell>
          <cell r="E93">
            <v>13581</v>
          </cell>
          <cell r="F93">
            <v>542</v>
          </cell>
          <cell r="G93" t="str">
            <v>F</v>
          </cell>
          <cell r="R93">
            <v>0</v>
          </cell>
          <cell r="X93">
            <v>1</v>
          </cell>
        </row>
        <row r="94">
          <cell r="C94" t="str">
            <v>VENADILLO</v>
          </cell>
          <cell r="D94" t="str">
            <v>TOLIMA</v>
          </cell>
          <cell r="E94">
            <v>13208</v>
          </cell>
          <cell r="F94">
            <v>542</v>
          </cell>
          <cell r="G94" t="str">
            <v>F</v>
          </cell>
          <cell r="R94">
            <v>1</v>
          </cell>
          <cell r="X94">
            <v>1</v>
          </cell>
        </row>
        <row r="95">
          <cell r="C95" t="str">
            <v>PIENDAMO</v>
          </cell>
          <cell r="D95" t="str">
            <v>CAUCA</v>
          </cell>
          <cell r="E95">
            <v>12811</v>
          </cell>
          <cell r="F95">
            <v>1279</v>
          </cell>
          <cell r="G95" t="str">
            <v>F</v>
          </cell>
          <cell r="R95">
            <v>2</v>
          </cell>
          <cell r="X95">
            <v>1</v>
          </cell>
        </row>
        <row r="96">
          <cell r="C96" t="str">
            <v>SANTA ROSA</v>
          </cell>
          <cell r="D96" t="str">
            <v>BOLIVAR</v>
          </cell>
          <cell r="E96">
            <v>12551</v>
          </cell>
          <cell r="F96">
            <v>223</v>
          </cell>
          <cell r="G96" t="str">
            <v>D</v>
          </cell>
          <cell r="R96">
            <v>0</v>
          </cell>
        </row>
        <row r="97">
          <cell r="C97" t="str">
            <v>TURBANA</v>
          </cell>
          <cell r="D97" t="str">
            <v>BOLIVAR</v>
          </cell>
          <cell r="E97">
            <v>11994</v>
          </cell>
          <cell r="F97">
            <v>157</v>
          </cell>
          <cell r="G97" t="str">
            <v>C</v>
          </cell>
          <cell r="R97">
            <v>0</v>
          </cell>
        </row>
        <row r="98">
          <cell r="C98" t="str">
            <v>EL ZULIA</v>
          </cell>
          <cell r="D98" t="str">
            <v>NORTE DE SANTANDER</v>
          </cell>
          <cell r="E98">
            <v>11321</v>
          </cell>
          <cell r="F98">
            <v>623</v>
          </cell>
          <cell r="G98" t="str">
            <v>F</v>
          </cell>
          <cell r="R98">
            <v>0</v>
          </cell>
          <cell r="X98">
            <v>1</v>
          </cell>
        </row>
        <row r="99">
          <cell r="C99" t="str">
            <v>TIMBIO</v>
          </cell>
          <cell r="D99" t="str">
            <v>CAUCA</v>
          </cell>
          <cell r="E99">
            <v>11074</v>
          </cell>
          <cell r="F99">
            <v>665</v>
          </cell>
          <cell r="G99" t="str">
            <v>F</v>
          </cell>
          <cell r="R99">
            <v>1</v>
          </cell>
        </row>
        <row r="100">
          <cell r="C100" t="str">
            <v>SAN ESTANISLAO DE KOSTKA</v>
          </cell>
          <cell r="D100" t="str">
            <v>BOLIVAR</v>
          </cell>
          <cell r="E100">
            <v>10906</v>
          </cell>
          <cell r="F100">
            <v>299</v>
          </cell>
          <cell r="G100" t="str">
            <v>C</v>
          </cell>
          <cell r="R100">
            <v>0</v>
          </cell>
          <cell r="X100">
            <v>1</v>
          </cell>
        </row>
        <row r="101">
          <cell r="C101" t="str">
            <v>CUMARAL</v>
          </cell>
          <cell r="D101" t="str">
            <v>META</v>
          </cell>
          <cell r="E101">
            <v>10814</v>
          </cell>
          <cell r="F101">
            <v>692</v>
          </cell>
          <cell r="G101" t="str">
            <v>G</v>
          </cell>
          <cell r="R101">
            <v>2</v>
          </cell>
          <cell r="X101">
            <v>1</v>
          </cell>
        </row>
        <row r="102">
          <cell r="C102" t="str">
            <v>COTA </v>
          </cell>
          <cell r="D102" t="str">
            <v>CUNDINAMARCA</v>
          </cell>
          <cell r="E102">
            <v>10719</v>
          </cell>
          <cell r="F102">
            <v>558</v>
          </cell>
          <cell r="G102" t="str">
            <v>G</v>
          </cell>
          <cell r="R102">
            <v>3</v>
          </cell>
          <cell r="X102">
            <v>3</v>
          </cell>
        </row>
        <row r="103">
          <cell r="C103" t="str">
            <v>TOCAIMA</v>
          </cell>
          <cell r="D103" t="str">
            <v>CUNDINAMARCA</v>
          </cell>
          <cell r="E103">
            <v>9777</v>
          </cell>
          <cell r="F103">
            <v>819</v>
          </cell>
          <cell r="G103" t="str">
            <v>F</v>
          </cell>
          <cell r="R103">
            <v>2</v>
          </cell>
          <cell r="X103">
            <v>1</v>
          </cell>
        </row>
        <row r="104">
          <cell r="C104" t="str">
            <v>LA CALERA</v>
          </cell>
          <cell r="D104" t="str">
            <v>CUNDINAMARCA</v>
          </cell>
          <cell r="E104">
            <v>9382</v>
          </cell>
          <cell r="F104">
            <v>545</v>
          </cell>
          <cell r="G104" t="str">
            <v>G</v>
          </cell>
          <cell r="R104">
            <v>1</v>
          </cell>
          <cell r="X104">
            <v>1</v>
          </cell>
        </row>
        <row r="105">
          <cell r="C105" t="str">
            <v>TABIO</v>
          </cell>
          <cell r="D105" t="str">
            <v>CUNDINAMARCA</v>
          </cell>
          <cell r="E105">
            <v>9330</v>
          </cell>
          <cell r="F105">
            <v>597</v>
          </cell>
          <cell r="G105" t="str">
            <v>F</v>
          </cell>
          <cell r="R105">
            <v>0</v>
          </cell>
          <cell r="X105">
            <v>2</v>
          </cell>
        </row>
        <row r="106">
          <cell r="C106" t="str">
            <v>CAJAMARCA </v>
          </cell>
          <cell r="D106" t="str">
            <v>TOLIMA</v>
          </cell>
          <cell r="E106">
            <v>9264</v>
          </cell>
          <cell r="F106">
            <v>565</v>
          </cell>
          <cell r="G106" t="str">
            <v>F</v>
          </cell>
          <cell r="R106">
            <v>1</v>
          </cell>
          <cell r="X106">
            <v>1</v>
          </cell>
        </row>
        <row r="107">
          <cell r="C107" t="str">
            <v>CLEMENCIA</v>
          </cell>
          <cell r="D107" t="str">
            <v>BOLIVAR</v>
          </cell>
          <cell r="E107">
            <v>9068</v>
          </cell>
          <cell r="F107">
            <v>242</v>
          </cell>
          <cell r="G107" t="str">
            <v>B</v>
          </cell>
          <cell r="R107">
            <v>0</v>
          </cell>
        </row>
        <row r="108">
          <cell r="C108" t="str">
            <v>AGUA DE DIOS</v>
          </cell>
          <cell r="D108" t="str">
            <v>CUNDINAMARCA</v>
          </cell>
          <cell r="E108">
            <v>8839</v>
          </cell>
          <cell r="F108">
            <v>623</v>
          </cell>
          <cell r="G108" t="str">
            <v>F</v>
          </cell>
          <cell r="R108">
            <v>0</v>
          </cell>
        </row>
        <row r="109">
          <cell r="C109" t="str">
            <v>MAHATES</v>
          </cell>
          <cell r="D109" t="str">
            <v>BOLIVAR</v>
          </cell>
          <cell r="E109">
            <v>8759</v>
          </cell>
          <cell r="F109">
            <v>164</v>
          </cell>
          <cell r="G109" t="str">
            <v>B</v>
          </cell>
          <cell r="R109">
            <v>0</v>
          </cell>
        </row>
        <row r="110">
          <cell r="C110" t="str">
            <v>LOS PALMITOS</v>
          </cell>
          <cell r="D110" t="str">
            <v>SUCRE</v>
          </cell>
          <cell r="E110">
            <v>8704</v>
          </cell>
          <cell r="F110">
            <v>390</v>
          </cell>
          <cell r="G110" t="str">
            <v>E</v>
          </cell>
          <cell r="R110">
            <v>0</v>
          </cell>
        </row>
        <row r="111">
          <cell r="C111" t="str">
            <v>PUEBLO VIEJO</v>
          </cell>
          <cell r="D111" t="str">
            <v>MAGDALENA</v>
          </cell>
          <cell r="E111">
            <v>8425</v>
          </cell>
          <cell r="F111">
            <v>208</v>
          </cell>
          <cell r="G111" t="str">
            <v>C</v>
          </cell>
          <cell r="R111">
            <v>0</v>
          </cell>
        </row>
        <row r="112">
          <cell r="C112" t="str">
            <v>TENJO</v>
          </cell>
          <cell r="D112" t="str">
            <v>CUNDINAMARCA</v>
          </cell>
          <cell r="E112">
            <v>7962</v>
          </cell>
          <cell r="F112">
            <v>391</v>
          </cell>
          <cell r="G112" t="str">
            <v>F</v>
          </cell>
          <cell r="R112">
            <v>0</v>
          </cell>
          <cell r="X112">
            <v>2</v>
          </cell>
        </row>
        <row r="113">
          <cell r="C113" t="str">
            <v>SAN DIEGO</v>
          </cell>
          <cell r="D113" t="str">
            <v>CESAR</v>
          </cell>
          <cell r="E113">
            <v>7178</v>
          </cell>
          <cell r="F113">
            <v>159</v>
          </cell>
          <cell r="G113" t="str">
            <v>F</v>
          </cell>
          <cell r="R113">
            <v>0</v>
          </cell>
          <cell r="X113">
            <v>1</v>
          </cell>
        </row>
        <row r="114">
          <cell r="C114" t="str">
            <v>RESTREPO</v>
          </cell>
          <cell r="D114" t="str">
            <v>META</v>
          </cell>
          <cell r="E114">
            <v>6729</v>
          </cell>
          <cell r="F114">
            <v>400</v>
          </cell>
          <cell r="G114" t="str">
            <v>F</v>
          </cell>
          <cell r="R114">
            <v>2</v>
          </cell>
          <cell r="X114">
            <v>1</v>
          </cell>
        </row>
        <row r="115">
          <cell r="C115" t="str">
            <v>GUAMAL</v>
          </cell>
          <cell r="D115" t="str">
            <v>META</v>
          </cell>
          <cell r="E115">
            <v>6134</v>
          </cell>
          <cell r="F115">
            <v>477</v>
          </cell>
          <cell r="G115" t="str">
            <v>F</v>
          </cell>
          <cell r="R115">
            <v>0</v>
          </cell>
          <cell r="X115">
            <v>1</v>
          </cell>
        </row>
        <row r="116">
          <cell r="C116" t="str">
            <v>EL TAMBO</v>
          </cell>
          <cell r="D116" t="str">
            <v>CAUCA</v>
          </cell>
          <cell r="E116">
            <v>5810</v>
          </cell>
          <cell r="F116">
            <v>509</v>
          </cell>
          <cell r="G116" t="str">
            <v>F</v>
          </cell>
          <cell r="R116">
            <v>0</v>
          </cell>
          <cell r="X116">
            <v>1</v>
          </cell>
        </row>
        <row r="117">
          <cell r="C117" t="str">
            <v>VIJES</v>
          </cell>
          <cell r="D117" t="str">
            <v>VALLE</v>
          </cell>
          <cell r="E117">
            <v>5786</v>
          </cell>
          <cell r="F117">
            <v>204</v>
          </cell>
          <cell r="G117" t="str">
            <v>E</v>
          </cell>
          <cell r="R117">
            <v>0</v>
          </cell>
        </row>
        <row r="118">
          <cell r="C118" t="str">
            <v>MORROA</v>
          </cell>
          <cell r="D118" t="str">
            <v>SUCRE</v>
          </cell>
          <cell r="E118">
            <v>5516</v>
          </cell>
          <cell r="F118">
            <v>102</v>
          </cell>
          <cell r="G118" t="str">
            <v>E</v>
          </cell>
          <cell r="R118">
            <v>1</v>
          </cell>
        </row>
        <row r="119">
          <cell r="C119" t="str">
            <v>MANAURE</v>
          </cell>
          <cell r="D119" t="str">
            <v>CESAR</v>
          </cell>
          <cell r="E119">
            <v>5445</v>
          </cell>
          <cell r="F119">
            <v>161</v>
          </cell>
          <cell r="G119" t="str">
            <v>C</v>
          </cell>
          <cell r="R119">
            <v>0</v>
          </cell>
        </row>
        <row r="120">
          <cell r="C120" t="str">
            <v>SANTA CATALINA</v>
          </cell>
          <cell r="D120" t="str">
            <v>BOLIVAR</v>
          </cell>
          <cell r="E120">
            <v>4372</v>
          </cell>
          <cell r="F120">
            <v>124</v>
          </cell>
          <cell r="G120" t="str">
            <v>B</v>
          </cell>
          <cell r="R120">
            <v>0</v>
          </cell>
        </row>
        <row r="121">
          <cell r="C121" t="str">
            <v>SALENTO</v>
          </cell>
          <cell r="D121" t="str">
            <v>QUINDIO</v>
          </cell>
          <cell r="E121">
            <v>3494</v>
          </cell>
          <cell r="F121">
            <v>320</v>
          </cell>
          <cell r="G121" t="str">
            <v>D</v>
          </cell>
          <cell r="R121">
            <v>0</v>
          </cell>
          <cell r="X121">
            <v>1</v>
          </cell>
        </row>
        <row r="122">
          <cell r="C122" t="str">
            <v>RICAURTE</v>
          </cell>
          <cell r="D122" t="str">
            <v>CUNDINAMARCA</v>
          </cell>
          <cell r="E122">
            <v>3399</v>
          </cell>
          <cell r="F122">
            <v>146</v>
          </cell>
          <cell r="G122" t="str">
            <v>E</v>
          </cell>
          <cell r="R122">
            <v>0</v>
          </cell>
          <cell r="X122">
            <v>1</v>
          </cell>
        </row>
        <row r="123">
          <cell r="C123" t="str">
            <v>GUACHUCAL</v>
          </cell>
          <cell r="D123" t="str">
            <v>NARIÑO</v>
          </cell>
          <cell r="E123">
            <v>3228</v>
          </cell>
          <cell r="F123">
            <v>447</v>
          </cell>
          <cell r="G123" t="str">
            <v>E</v>
          </cell>
          <cell r="R123">
            <v>0</v>
          </cell>
          <cell r="X123">
            <v>1</v>
          </cell>
        </row>
        <row r="124">
          <cell r="C124" t="str">
            <v>NILO</v>
          </cell>
          <cell r="D124" t="str">
            <v>CUNDINAMARCA</v>
          </cell>
          <cell r="E124">
            <v>3201</v>
          </cell>
          <cell r="F124">
            <v>82</v>
          </cell>
          <cell r="G124" t="str">
            <v>D</v>
          </cell>
          <cell r="R124">
            <v>0</v>
          </cell>
          <cell r="X124">
            <v>1</v>
          </cell>
        </row>
        <row r="125">
          <cell r="C125" t="str">
            <v>ALVARADO</v>
          </cell>
          <cell r="D125" t="str">
            <v>TOLIMA</v>
          </cell>
          <cell r="E125">
            <v>3138</v>
          </cell>
          <cell r="F125">
            <v>217</v>
          </cell>
          <cell r="G125" t="str">
            <v>F</v>
          </cell>
          <cell r="R125">
            <v>1</v>
          </cell>
          <cell r="X125">
            <v>1</v>
          </cell>
        </row>
        <row r="126">
          <cell r="C126" t="str">
            <v>LA CUMBRE</v>
          </cell>
          <cell r="D126" t="str">
            <v>VALLE</v>
          </cell>
          <cell r="E126">
            <v>2243</v>
          </cell>
          <cell r="F126">
            <v>223</v>
          </cell>
          <cell r="G126" t="str">
            <v>E</v>
          </cell>
          <cell r="R126">
            <v>0</v>
          </cell>
        </row>
        <row r="127">
          <cell r="C127" t="str">
            <v>PROVIDENCIA</v>
          </cell>
          <cell r="D127" t="str">
            <v>SAN ANDRES</v>
          </cell>
          <cell r="E127">
            <v>1739</v>
          </cell>
          <cell r="F127">
            <v>147</v>
          </cell>
          <cell r="G127" t="str">
            <v>D</v>
          </cell>
          <cell r="R127">
            <v>1</v>
          </cell>
          <cell r="X127">
            <v>1</v>
          </cell>
        </row>
        <row r="128">
          <cell r="C128" t="str">
            <v>PIEDRAS</v>
          </cell>
          <cell r="D128" t="str">
            <v>TOLIMA</v>
          </cell>
          <cell r="E128">
            <v>1612</v>
          </cell>
          <cell r="F128">
            <v>97</v>
          </cell>
          <cell r="G128" t="str">
            <v>D</v>
          </cell>
          <cell r="R128">
            <v>0</v>
          </cell>
        </row>
        <row r="129">
          <cell r="C129" t="str">
            <v>CAJIBIO</v>
          </cell>
          <cell r="D129" t="str">
            <v>CAUCA</v>
          </cell>
          <cell r="E129">
            <v>1593</v>
          </cell>
          <cell r="F129">
            <v>123</v>
          </cell>
          <cell r="G129" t="str">
            <v>E</v>
          </cell>
          <cell r="R129">
            <v>0</v>
          </cell>
        </row>
        <row r="130">
          <cell r="C130" t="str">
            <v>NARIÑO</v>
          </cell>
          <cell r="D130" t="str">
            <v>CUNDINAMARCA</v>
          </cell>
          <cell r="E130">
            <v>1337</v>
          </cell>
          <cell r="F130">
            <v>47</v>
          </cell>
          <cell r="G130" t="str">
            <v>B</v>
          </cell>
          <cell r="R130">
            <v>0</v>
          </cell>
        </row>
        <row r="131">
          <cell r="C131" t="str">
            <v>GUATAQUI</v>
          </cell>
          <cell r="D131" t="str">
            <v>CUNDINAMARCA</v>
          </cell>
          <cell r="E131">
            <v>1046</v>
          </cell>
          <cell r="F131">
            <v>45</v>
          </cell>
          <cell r="G131" t="str">
            <v>D</v>
          </cell>
          <cell r="R131">
            <v>0</v>
          </cell>
        </row>
        <row r="132">
          <cell r="C132" t="str">
            <v>JERUSALEN</v>
          </cell>
          <cell r="D132" t="str">
            <v>CUNDINAMARCA</v>
          </cell>
          <cell r="E132">
            <v>589</v>
          </cell>
          <cell r="F132">
            <v>47</v>
          </cell>
          <cell r="G132" t="str">
            <v>B</v>
          </cell>
          <cell r="R132">
            <v>0</v>
          </cell>
        </row>
        <row r="133">
          <cell r="C133" t="str">
            <v>SALADO -CHUCUNI - RURAL</v>
          </cell>
          <cell r="D133" t="str">
            <v>TOLIMA</v>
          </cell>
          <cell r="E133">
            <v>0</v>
          </cell>
          <cell r="F133">
            <v>0</v>
          </cell>
          <cell r="G133" t="str">
            <v>B</v>
          </cell>
          <cell r="R133">
            <v>0</v>
          </cell>
        </row>
        <row r="134">
          <cell r="C134" t="str">
            <v>DOIMA</v>
          </cell>
          <cell r="D134" t="str">
            <v>TOLIMA</v>
          </cell>
          <cell r="E134">
            <v>0</v>
          </cell>
          <cell r="F134">
            <v>0</v>
          </cell>
          <cell r="G134" t="str">
            <v>A</v>
          </cell>
          <cell r="R134">
            <v>0</v>
          </cell>
        </row>
        <row r="135">
          <cell r="C135" t="str">
            <v>APIAY</v>
          </cell>
          <cell r="D135" t="str">
            <v>META</v>
          </cell>
          <cell r="R135">
            <v>0</v>
          </cell>
          <cell r="X135">
            <v>1</v>
          </cell>
        </row>
        <row r="136">
          <cell r="C136" t="str">
            <v>BUENOS AIRES</v>
          </cell>
          <cell r="D136" t="str">
            <v>TOLIMA</v>
          </cell>
          <cell r="R136">
            <v>0</v>
          </cell>
        </row>
        <row r="137">
          <cell r="C137" t="str">
            <v>LA PAZ</v>
          </cell>
          <cell r="D137" t="str">
            <v>CESAR</v>
          </cell>
          <cell r="R137">
            <v>0</v>
          </cell>
          <cell r="X137">
            <v>1</v>
          </cell>
        </row>
        <row r="138">
          <cell r="C138" t="str">
            <v>APARTADO</v>
          </cell>
          <cell r="D138" t="str">
            <v>ANTIOQUIA</v>
          </cell>
          <cell r="E138">
            <v>114840</v>
          </cell>
          <cell r="F138">
            <v>3535</v>
          </cell>
          <cell r="G138" t="str">
            <v>G</v>
          </cell>
          <cell r="R138">
            <v>3</v>
          </cell>
          <cell r="X138">
            <v>2</v>
          </cell>
        </row>
        <row r="139">
          <cell r="C139" t="str">
            <v>QUIBDO</v>
          </cell>
          <cell r="D139" t="str">
            <v>CHOCO</v>
          </cell>
          <cell r="E139">
            <v>100113</v>
          </cell>
          <cell r="F139">
            <v>2155</v>
          </cell>
          <cell r="G139" t="str">
            <v>I</v>
          </cell>
          <cell r="R139">
            <v>2</v>
          </cell>
          <cell r="X139">
            <v>1</v>
          </cell>
        </row>
        <row r="140">
          <cell r="C140" t="str">
            <v>BUGA</v>
          </cell>
          <cell r="D140" t="str">
            <v>VALLE</v>
          </cell>
          <cell r="E140">
            <v>97262</v>
          </cell>
          <cell r="F140">
            <v>6578</v>
          </cell>
          <cell r="G140" t="str">
            <v>I</v>
          </cell>
          <cell r="R140">
            <v>3</v>
          </cell>
          <cell r="X140">
            <v>4</v>
          </cell>
        </row>
        <row r="141">
          <cell r="C141" t="str">
            <v>TUMACO</v>
          </cell>
          <cell r="D141" t="str">
            <v>NARIÑO</v>
          </cell>
          <cell r="E141">
            <v>85885</v>
          </cell>
          <cell r="F141">
            <v>2174</v>
          </cell>
          <cell r="G141" t="str">
            <v>G</v>
          </cell>
          <cell r="R141">
            <v>3</v>
          </cell>
          <cell r="X141">
            <v>2</v>
          </cell>
        </row>
        <row r="142">
          <cell r="C142" t="str">
            <v>FUSAGASUGA</v>
          </cell>
          <cell r="D142" t="str">
            <v>CUNDINAMARCA</v>
          </cell>
          <cell r="E142">
            <v>85008</v>
          </cell>
          <cell r="F142">
            <v>4612</v>
          </cell>
          <cell r="G142" t="str">
            <v>H</v>
          </cell>
          <cell r="R142">
            <v>3</v>
          </cell>
          <cell r="X142">
            <v>4</v>
          </cell>
        </row>
        <row r="143">
          <cell r="C143" t="str">
            <v>MAGANGUE</v>
          </cell>
          <cell r="D143" t="str">
            <v>BOLIVAR</v>
          </cell>
          <cell r="E143">
            <v>80109</v>
          </cell>
          <cell r="F143">
            <v>3229</v>
          </cell>
          <cell r="G143" t="str">
            <v>G</v>
          </cell>
          <cell r="R143">
            <v>2</v>
          </cell>
          <cell r="X143">
            <v>3</v>
          </cell>
        </row>
        <row r="144">
          <cell r="C144" t="str">
            <v>OCAÑA</v>
          </cell>
          <cell r="D144" t="str">
            <v>NORTE DE SANTANDER</v>
          </cell>
          <cell r="E144">
            <v>78856</v>
          </cell>
          <cell r="F144">
            <v>4316</v>
          </cell>
          <cell r="G144" t="str">
            <v>G</v>
          </cell>
          <cell r="R144">
            <v>1</v>
          </cell>
          <cell r="X144">
            <v>3</v>
          </cell>
        </row>
        <row r="145">
          <cell r="C145" t="str">
            <v>CAUCASIA</v>
          </cell>
          <cell r="D145" t="str">
            <v>ANTIOQUIA</v>
          </cell>
          <cell r="E145">
            <v>70859</v>
          </cell>
          <cell r="F145">
            <v>2578</v>
          </cell>
          <cell r="G145" t="str">
            <v>G</v>
          </cell>
          <cell r="R145">
            <v>3</v>
          </cell>
          <cell r="X145">
            <v>2</v>
          </cell>
        </row>
        <row r="146">
          <cell r="C146" t="str">
            <v>AGUACHICA</v>
          </cell>
          <cell r="D146" t="str">
            <v>CESAR</v>
          </cell>
          <cell r="E146">
            <v>67936</v>
          </cell>
          <cell r="F146">
            <v>2862</v>
          </cell>
          <cell r="G146" t="str">
            <v>G</v>
          </cell>
          <cell r="R146">
            <v>2</v>
          </cell>
          <cell r="X146">
            <v>3</v>
          </cell>
        </row>
        <row r="147">
          <cell r="C147" t="str">
            <v>SABANALARGA</v>
          </cell>
          <cell r="D147" t="str">
            <v>ATLANTICO</v>
          </cell>
          <cell r="E147">
            <v>65351</v>
          </cell>
          <cell r="F147">
            <v>1258</v>
          </cell>
          <cell r="G147" t="str">
            <v>G</v>
          </cell>
          <cell r="R147">
            <v>2</v>
          </cell>
          <cell r="X147">
            <v>2</v>
          </cell>
        </row>
        <row r="148">
          <cell r="C148" t="str">
            <v>RIO NEGRO</v>
          </cell>
          <cell r="D148" t="str">
            <v>ANTIOQUIA</v>
          </cell>
          <cell r="E148">
            <v>65101</v>
          </cell>
          <cell r="F148">
            <v>3734</v>
          </cell>
          <cell r="G148" t="str">
            <v>G</v>
          </cell>
          <cell r="R148">
            <v>1</v>
          </cell>
          <cell r="X148">
            <v>4</v>
          </cell>
        </row>
        <row r="149">
          <cell r="C149" t="str">
            <v>MAICAO</v>
          </cell>
          <cell r="D149" t="str">
            <v>LA GUAJIRA</v>
          </cell>
          <cell r="E149">
            <v>64011</v>
          </cell>
          <cell r="F149">
            <v>2917</v>
          </cell>
          <cell r="G149" t="str">
            <v>G</v>
          </cell>
          <cell r="R149">
            <v>3</v>
          </cell>
          <cell r="X149">
            <v>4</v>
          </cell>
        </row>
        <row r="150">
          <cell r="C150" t="str">
            <v>ARAUCA</v>
          </cell>
          <cell r="D150" t="str">
            <v>ARAUCA</v>
          </cell>
          <cell r="E150">
            <v>63448</v>
          </cell>
          <cell r="F150">
            <v>1678</v>
          </cell>
          <cell r="G150" t="str">
            <v>G</v>
          </cell>
          <cell r="R150">
            <v>2</v>
          </cell>
          <cell r="X150">
            <v>1</v>
          </cell>
        </row>
        <row r="151">
          <cell r="C151" t="str">
            <v>LA DORADA</v>
          </cell>
          <cell r="D151" t="str">
            <v>CALDAS</v>
          </cell>
          <cell r="E151">
            <v>63288</v>
          </cell>
          <cell r="F151">
            <v>3656</v>
          </cell>
          <cell r="G151" t="str">
            <v>H</v>
          </cell>
          <cell r="R151">
            <v>3</v>
          </cell>
          <cell r="X151">
            <v>6</v>
          </cell>
        </row>
        <row r="152">
          <cell r="C152" t="str">
            <v>PITALITO</v>
          </cell>
          <cell r="D152" t="str">
            <v>HUILA</v>
          </cell>
          <cell r="E152">
            <v>60590</v>
          </cell>
          <cell r="F152">
            <v>3640</v>
          </cell>
          <cell r="G152" t="str">
            <v>G</v>
          </cell>
          <cell r="R152">
            <v>2</v>
          </cell>
          <cell r="X152">
            <v>6</v>
          </cell>
        </row>
        <row r="153">
          <cell r="C153" t="str">
            <v>ESPINAL</v>
          </cell>
          <cell r="D153" t="str">
            <v>TOLIMA</v>
          </cell>
          <cell r="E153">
            <v>55329</v>
          </cell>
          <cell r="F153">
            <v>2903</v>
          </cell>
          <cell r="G153" t="str">
            <v>G</v>
          </cell>
          <cell r="R153">
            <v>2</v>
          </cell>
          <cell r="X153">
            <v>3</v>
          </cell>
        </row>
        <row r="154">
          <cell r="C154" t="str">
            <v>CHIGORODO</v>
          </cell>
          <cell r="D154" t="str">
            <v>ANTIOQUIA</v>
          </cell>
          <cell r="E154">
            <v>50514</v>
          </cell>
          <cell r="F154">
            <v>1692</v>
          </cell>
          <cell r="G154" t="str">
            <v>F</v>
          </cell>
          <cell r="R154">
            <v>1</v>
          </cell>
          <cell r="X154">
            <v>1</v>
          </cell>
        </row>
        <row r="155">
          <cell r="C155" t="str">
            <v>MONTELIBANO</v>
          </cell>
          <cell r="D155" t="str">
            <v>CORDOBA</v>
          </cell>
          <cell r="E155">
            <v>50144</v>
          </cell>
          <cell r="F155">
            <v>1859</v>
          </cell>
          <cell r="G155" t="str">
            <v>F</v>
          </cell>
          <cell r="R155">
            <v>1</v>
          </cell>
          <cell r="X155">
            <v>1</v>
          </cell>
        </row>
        <row r="156">
          <cell r="C156" t="str">
            <v>EL CARMEN DE BOLIVAR</v>
          </cell>
          <cell r="D156" t="str">
            <v>BOLIVAR</v>
          </cell>
          <cell r="E156">
            <v>49559</v>
          </cell>
          <cell r="F156">
            <v>1661</v>
          </cell>
          <cell r="G156" t="str">
            <v>G</v>
          </cell>
          <cell r="R156">
            <v>0</v>
          </cell>
          <cell r="X156">
            <v>1</v>
          </cell>
        </row>
        <row r="157">
          <cell r="C157" t="str">
            <v>FUNDACION</v>
          </cell>
          <cell r="D157" t="str">
            <v>MAGDALENA</v>
          </cell>
          <cell r="E157">
            <v>49467</v>
          </cell>
          <cell r="F157">
            <v>2443</v>
          </cell>
          <cell r="G157" t="str">
            <v>G</v>
          </cell>
          <cell r="R157">
            <v>2</v>
          </cell>
          <cell r="X157">
            <v>1</v>
          </cell>
        </row>
        <row r="158">
          <cell r="C158" t="str">
            <v>PAMPLONA</v>
          </cell>
          <cell r="D158" t="str">
            <v>NORTE DE SANTANDER</v>
          </cell>
          <cell r="E158">
            <v>48575</v>
          </cell>
          <cell r="F158">
            <v>2344</v>
          </cell>
          <cell r="G158" t="str">
            <v>G</v>
          </cell>
          <cell r="R158">
            <v>2</v>
          </cell>
          <cell r="X158">
            <v>2</v>
          </cell>
        </row>
        <row r="159">
          <cell r="C159" t="str">
            <v>TURBO</v>
          </cell>
          <cell r="D159" t="str">
            <v>ANTIOQUIA</v>
          </cell>
          <cell r="E159">
            <v>47747</v>
          </cell>
          <cell r="F159">
            <v>1792</v>
          </cell>
          <cell r="G159" t="str">
            <v>G</v>
          </cell>
          <cell r="R159">
            <v>2</v>
          </cell>
          <cell r="X159">
            <v>2</v>
          </cell>
        </row>
        <row r="160">
          <cell r="C160" t="str">
            <v>CERETE</v>
          </cell>
          <cell r="D160" t="str">
            <v>CORDOBA</v>
          </cell>
          <cell r="E160">
            <v>47027</v>
          </cell>
          <cell r="F160">
            <v>1794</v>
          </cell>
          <cell r="G160" t="str">
            <v>F</v>
          </cell>
          <cell r="R160">
            <v>3</v>
          </cell>
          <cell r="X160">
            <v>2</v>
          </cell>
        </row>
        <row r="161">
          <cell r="C161" t="str">
            <v>CHIQUINQUIRA</v>
          </cell>
          <cell r="D161" t="str">
            <v>BOYACA</v>
          </cell>
          <cell r="E161">
            <v>46827</v>
          </cell>
          <cell r="F161">
            <v>3026</v>
          </cell>
          <cell r="G161" t="str">
            <v>G</v>
          </cell>
          <cell r="R161">
            <v>2</v>
          </cell>
          <cell r="X161">
            <v>4</v>
          </cell>
        </row>
        <row r="162">
          <cell r="C162" t="str">
            <v>SANTA CRUZ DE LORICA</v>
          </cell>
          <cell r="D162" t="str">
            <v>CORDOBA</v>
          </cell>
          <cell r="E162">
            <v>45099</v>
          </cell>
          <cell r="F162">
            <v>1299</v>
          </cell>
          <cell r="G162" t="str">
            <v>G</v>
          </cell>
          <cell r="R162">
            <v>1</v>
          </cell>
          <cell r="X162">
            <v>2</v>
          </cell>
        </row>
        <row r="163">
          <cell r="C163" t="str">
            <v>SAHAGUN</v>
          </cell>
          <cell r="D163" t="str">
            <v>CORDOBA</v>
          </cell>
          <cell r="E163">
            <v>44855</v>
          </cell>
          <cell r="F163">
            <v>1747</v>
          </cell>
          <cell r="G163" t="str">
            <v>F</v>
          </cell>
          <cell r="R163">
            <v>2</v>
          </cell>
          <cell r="X163">
            <v>1</v>
          </cell>
        </row>
        <row r="164">
          <cell r="C164" t="str">
            <v>BARANOA</v>
          </cell>
          <cell r="D164" t="str">
            <v>ATLANTICO</v>
          </cell>
          <cell r="E164">
            <v>41784</v>
          </cell>
          <cell r="F164">
            <v>1182</v>
          </cell>
          <cell r="G164" t="str">
            <v>F</v>
          </cell>
          <cell r="R164">
            <v>1</v>
          </cell>
          <cell r="X164">
            <v>1</v>
          </cell>
        </row>
        <row r="165">
          <cell r="C165" t="str">
            <v>GRANADA</v>
          </cell>
          <cell r="D165" t="str">
            <v>META</v>
          </cell>
          <cell r="E165">
            <v>41629</v>
          </cell>
          <cell r="F165">
            <v>2702</v>
          </cell>
          <cell r="G165" t="str">
            <v>G</v>
          </cell>
          <cell r="R165">
            <v>3</v>
          </cell>
          <cell r="X165">
            <v>2</v>
          </cell>
        </row>
        <row r="166">
          <cell r="C166" t="str">
            <v>PRADERA</v>
          </cell>
          <cell r="D166" t="str">
            <v>VALLE</v>
          </cell>
          <cell r="E166">
            <v>41334</v>
          </cell>
          <cell r="F166">
            <v>1583</v>
          </cell>
          <cell r="G166" t="str">
            <v>F</v>
          </cell>
          <cell r="R166">
            <v>0</v>
          </cell>
          <cell r="X166">
            <v>1</v>
          </cell>
        </row>
        <row r="167">
          <cell r="C167" t="str">
            <v>SANTANDER DE QUILICHAO</v>
          </cell>
          <cell r="D167" t="str">
            <v>CAUCA</v>
          </cell>
          <cell r="E167">
            <v>40778</v>
          </cell>
          <cell r="F167">
            <v>1693</v>
          </cell>
          <cell r="G167" t="str">
            <v>G</v>
          </cell>
          <cell r="R167">
            <v>2</v>
          </cell>
          <cell r="X167">
            <v>2</v>
          </cell>
        </row>
        <row r="168">
          <cell r="C168" t="str">
            <v>PUERTO TEJADA</v>
          </cell>
          <cell r="D168" t="str">
            <v>CAUCA</v>
          </cell>
          <cell r="E168">
            <v>38910</v>
          </cell>
          <cell r="F168">
            <v>1606</v>
          </cell>
          <cell r="G168" t="str">
            <v>G</v>
          </cell>
          <cell r="R168">
            <v>1</v>
          </cell>
          <cell r="X168">
            <v>1</v>
          </cell>
        </row>
        <row r="169">
          <cell r="C169" t="str">
            <v>LA CEJA</v>
          </cell>
          <cell r="D169" t="str">
            <v>ANTIOQUIA</v>
          </cell>
          <cell r="E169">
            <v>38572</v>
          </cell>
          <cell r="F169">
            <v>1615</v>
          </cell>
          <cell r="G169" t="str">
            <v>J</v>
          </cell>
          <cell r="R169">
            <v>1</v>
          </cell>
          <cell r="X169">
            <v>1</v>
          </cell>
        </row>
        <row r="170">
          <cell r="C170" t="str">
            <v>PLANETA RICA</v>
          </cell>
          <cell r="D170" t="str">
            <v>CORDOBA</v>
          </cell>
          <cell r="E170">
            <v>38330</v>
          </cell>
          <cell r="F170">
            <v>1464</v>
          </cell>
          <cell r="G170" t="str">
            <v>D</v>
          </cell>
          <cell r="R170">
            <v>2</v>
          </cell>
          <cell r="X170">
            <v>1</v>
          </cell>
        </row>
        <row r="171">
          <cell r="C171" t="str">
            <v>SAN GIL</v>
          </cell>
          <cell r="D171" t="str">
            <v>SANTANDER</v>
          </cell>
          <cell r="E171">
            <v>36748</v>
          </cell>
          <cell r="F171">
            <v>3001</v>
          </cell>
          <cell r="G171" t="str">
            <v>H</v>
          </cell>
          <cell r="R171">
            <v>2</v>
          </cell>
          <cell r="X171">
            <v>2</v>
          </cell>
        </row>
        <row r="172">
          <cell r="C172" t="str">
            <v>PLATO</v>
          </cell>
          <cell r="D172" t="str">
            <v>MAGDALENA</v>
          </cell>
          <cell r="E172">
            <v>35688</v>
          </cell>
          <cell r="F172">
            <v>2424</v>
          </cell>
          <cell r="G172" t="str">
            <v>F</v>
          </cell>
          <cell r="R172">
            <v>1</v>
          </cell>
          <cell r="X172">
            <v>1</v>
          </cell>
        </row>
        <row r="173">
          <cell r="C173" t="str">
            <v>SAN JOSE DEL GUAVIARE</v>
          </cell>
          <cell r="D173" t="str">
            <v>GUAVIARE</v>
          </cell>
          <cell r="E173">
            <v>35095</v>
          </cell>
          <cell r="F173">
            <v>1584</v>
          </cell>
          <cell r="G173" t="str">
            <v>G</v>
          </cell>
          <cell r="R173">
            <v>0</v>
          </cell>
          <cell r="X173">
            <v>1</v>
          </cell>
        </row>
        <row r="174">
          <cell r="C174" t="str">
            <v>PUERTO BERRIO</v>
          </cell>
          <cell r="D174" t="str">
            <v>ANTIOQUIA</v>
          </cell>
          <cell r="E174">
            <v>34230</v>
          </cell>
          <cell r="F174">
            <v>1519</v>
          </cell>
          <cell r="G174" t="str">
            <v>G</v>
          </cell>
          <cell r="R174">
            <v>0</v>
          </cell>
          <cell r="X174">
            <v>1</v>
          </cell>
        </row>
        <row r="175">
          <cell r="C175" t="str">
            <v>PUERTO BOYACA</v>
          </cell>
          <cell r="D175" t="str">
            <v>BOYACA</v>
          </cell>
          <cell r="E175">
            <v>33504</v>
          </cell>
          <cell r="F175">
            <v>1562</v>
          </cell>
          <cell r="G175" t="str">
            <v>G</v>
          </cell>
          <cell r="R175">
            <v>1</v>
          </cell>
          <cell r="X175">
            <v>2</v>
          </cell>
        </row>
        <row r="176">
          <cell r="C176" t="str">
            <v>GARZON</v>
          </cell>
          <cell r="D176" t="str">
            <v>HUILA</v>
          </cell>
          <cell r="E176">
            <v>33493</v>
          </cell>
          <cell r="F176">
            <v>1244</v>
          </cell>
          <cell r="G176" t="str">
            <v>G</v>
          </cell>
          <cell r="R176">
            <v>2</v>
          </cell>
          <cell r="X176">
            <v>5</v>
          </cell>
        </row>
        <row r="177">
          <cell r="C177" t="str">
            <v>TIERRALTA</v>
          </cell>
          <cell r="D177" t="str">
            <v>CORDOBA</v>
          </cell>
          <cell r="E177">
            <v>33084</v>
          </cell>
          <cell r="F177">
            <v>1327</v>
          </cell>
          <cell r="G177" t="str">
            <v>F</v>
          </cell>
          <cell r="R177">
            <v>0</v>
          </cell>
          <cell r="X177">
            <v>1</v>
          </cell>
        </row>
        <row r="178">
          <cell r="C178" t="str">
            <v>MARINILLA</v>
          </cell>
          <cell r="D178" t="str">
            <v>ANTIOQUIA</v>
          </cell>
          <cell r="E178">
            <v>32800</v>
          </cell>
          <cell r="F178">
            <v>1527</v>
          </cell>
          <cell r="G178" t="str">
            <v>G</v>
          </cell>
          <cell r="R178">
            <v>1</v>
          </cell>
          <cell r="X178">
            <v>2</v>
          </cell>
        </row>
        <row r="179">
          <cell r="C179" t="str">
            <v>EL BANCO</v>
          </cell>
          <cell r="D179" t="str">
            <v>MAGDALENA</v>
          </cell>
          <cell r="E179">
            <v>32556</v>
          </cell>
          <cell r="F179">
            <v>1189</v>
          </cell>
          <cell r="G179" t="str">
            <v>G</v>
          </cell>
          <cell r="R179">
            <v>1</v>
          </cell>
          <cell r="X179">
            <v>1</v>
          </cell>
        </row>
        <row r="180">
          <cell r="C180" t="str">
            <v>CERRITO</v>
          </cell>
          <cell r="D180" t="str">
            <v>VALLE</v>
          </cell>
          <cell r="E180">
            <v>32507</v>
          </cell>
          <cell r="F180">
            <v>1354</v>
          </cell>
          <cell r="G180" t="str">
            <v>G</v>
          </cell>
          <cell r="R180">
            <v>1</v>
          </cell>
          <cell r="X180">
            <v>1</v>
          </cell>
        </row>
        <row r="181">
          <cell r="C181" t="str">
            <v>SAN VICENTE DEL CAGUAN</v>
          </cell>
          <cell r="D181" t="str">
            <v>CAQUETA</v>
          </cell>
          <cell r="E181">
            <v>32093</v>
          </cell>
          <cell r="F181">
            <v>1003</v>
          </cell>
          <cell r="G181" t="str">
            <v>G</v>
          </cell>
          <cell r="R181">
            <v>1</v>
          </cell>
          <cell r="X181">
            <v>2</v>
          </cell>
        </row>
        <row r="182">
          <cell r="C182" t="str">
            <v>SEVILLA</v>
          </cell>
          <cell r="D182" t="str">
            <v>VALLE</v>
          </cell>
          <cell r="E182">
            <v>30896</v>
          </cell>
          <cell r="F182">
            <v>1102</v>
          </cell>
          <cell r="G182" t="str">
            <v>G</v>
          </cell>
          <cell r="R182">
            <v>0</v>
          </cell>
          <cell r="X182">
            <v>2</v>
          </cell>
        </row>
        <row r="183">
          <cell r="C183" t="str">
            <v>CAREPA</v>
          </cell>
          <cell r="D183" t="str">
            <v>ANTIOQUIA</v>
          </cell>
          <cell r="E183">
            <v>30268</v>
          </cell>
          <cell r="F183">
            <v>786</v>
          </cell>
          <cell r="G183" t="str">
            <v>F</v>
          </cell>
          <cell r="R183">
            <v>1</v>
          </cell>
          <cell r="X183">
            <v>1</v>
          </cell>
        </row>
        <row r="184">
          <cell r="C184" t="str">
            <v>SAN MARCOS</v>
          </cell>
          <cell r="D184" t="str">
            <v>SUCRE</v>
          </cell>
          <cell r="E184">
            <v>29172</v>
          </cell>
          <cell r="F184">
            <v>939</v>
          </cell>
          <cell r="G184" t="str">
            <v>F</v>
          </cell>
          <cell r="R184">
            <v>1</v>
          </cell>
          <cell r="X184">
            <v>1</v>
          </cell>
        </row>
        <row r="185">
          <cell r="C185" t="str">
            <v>SARAVENA</v>
          </cell>
          <cell r="D185" t="str">
            <v>ARAUCA</v>
          </cell>
          <cell r="E185">
            <v>28811</v>
          </cell>
          <cell r="F185">
            <v>1570</v>
          </cell>
          <cell r="G185" t="str">
            <v>G</v>
          </cell>
          <cell r="R185">
            <v>0</v>
          </cell>
          <cell r="X185">
            <v>1</v>
          </cell>
        </row>
        <row r="186">
          <cell r="C186" t="str">
            <v>ZARZAL</v>
          </cell>
          <cell r="D186" t="str">
            <v>VALLE</v>
          </cell>
          <cell r="E186">
            <v>28135</v>
          </cell>
          <cell r="F186">
            <v>1238</v>
          </cell>
          <cell r="G186" t="str">
            <v>F</v>
          </cell>
          <cell r="R186">
            <v>1</v>
          </cell>
          <cell r="X186">
            <v>1</v>
          </cell>
        </row>
        <row r="187">
          <cell r="C187" t="str">
            <v>PUERTO ASIS</v>
          </cell>
          <cell r="D187" t="str">
            <v>PUTUMAYO</v>
          </cell>
          <cell r="E187">
            <v>28003</v>
          </cell>
          <cell r="F187">
            <v>1758</v>
          </cell>
          <cell r="G187" t="str">
            <v>G</v>
          </cell>
          <cell r="R187">
            <v>0</v>
          </cell>
          <cell r="X187">
            <v>3</v>
          </cell>
        </row>
        <row r="188">
          <cell r="C188" t="str">
            <v>SEGOVIA</v>
          </cell>
          <cell r="D188" t="str">
            <v>ANTIOQUIA</v>
          </cell>
          <cell r="E188">
            <v>27899</v>
          </cell>
          <cell r="F188">
            <v>1259</v>
          </cell>
          <cell r="G188" t="str">
            <v>F</v>
          </cell>
          <cell r="R188">
            <v>0</v>
          </cell>
        </row>
        <row r="189">
          <cell r="C189" t="str">
            <v>BOSCONIA</v>
          </cell>
          <cell r="D189" t="str">
            <v>CESAR</v>
          </cell>
          <cell r="E189">
            <v>27414</v>
          </cell>
          <cell r="F189">
            <v>733</v>
          </cell>
          <cell r="G189" t="str">
            <v>F</v>
          </cell>
          <cell r="R189">
            <v>1</v>
          </cell>
          <cell r="X189">
            <v>3</v>
          </cell>
        </row>
        <row r="190">
          <cell r="C190" t="str">
            <v>MELGAR</v>
          </cell>
          <cell r="D190" t="str">
            <v>TOLIMA</v>
          </cell>
          <cell r="E190">
            <v>26738</v>
          </cell>
          <cell r="F190">
            <v>1209</v>
          </cell>
          <cell r="G190" t="str">
            <v>G</v>
          </cell>
          <cell r="R190">
            <v>1</v>
          </cell>
          <cell r="X190">
            <v>4</v>
          </cell>
        </row>
        <row r="191">
          <cell r="C191" t="str">
            <v>YARUMAL</v>
          </cell>
          <cell r="D191" t="str">
            <v>ANTIOQUIA</v>
          </cell>
          <cell r="E191">
            <v>26716</v>
          </cell>
          <cell r="F191">
            <v>1386</v>
          </cell>
          <cell r="G191" t="str">
            <v>G</v>
          </cell>
          <cell r="R191">
            <v>0</v>
          </cell>
          <cell r="X191">
            <v>1</v>
          </cell>
        </row>
        <row r="192">
          <cell r="C192" t="str">
            <v>MANAURE</v>
          </cell>
          <cell r="D192" t="str">
            <v>LA GUAJIRA</v>
          </cell>
          <cell r="E192">
            <v>26654</v>
          </cell>
          <cell r="F192">
            <v>367</v>
          </cell>
          <cell r="G192" t="str">
            <v>D</v>
          </cell>
          <cell r="R192">
            <v>0</v>
          </cell>
        </row>
        <row r="193">
          <cell r="C193" t="str">
            <v>MOCOA</v>
          </cell>
          <cell r="D193" t="str">
            <v>PUTUMAYO</v>
          </cell>
          <cell r="E193">
            <v>26439</v>
          </cell>
          <cell r="F193">
            <v>1004</v>
          </cell>
          <cell r="G193" t="str">
            <v>G</v>
          </cell>
          <cell r="R193">
            <v>0</v>
          </cell>
          <cell r="X193">
            <v>4</v>
          </cell>
        </row>
        <row r="194">
          <cell r="C194" t="str">
            <v>QUIMBAYA</v>
          </cell>
          <cell r="D194" t="str">
            <v>QUINDIO</v>
          </cell>
          <cell r="E194">
            <v>26433</v>
          </cell>
          <cell r="F194">
            <v>1382</v>
          </cell>
          <cell r="G194" t="str">
            <v>G</v>
          </cell>
          <cell r="R194">
            <v>1</v>
          </cell>
          <cell r="X194">
            <v>1</v>
          </cell>
        </row>
        <row r="195">
          <cell r="C195" t="str">
            <v>HONDA</v>
          </cell>
          <cell r="D195" t="str">
            <v>TOLIMA</v>
          </cell>
          <cell r="E195">
            <v>25991</v>
          </cell>
          <cell r="F195">
            <v>790</v>
          </cell>
          <cell r="G195" t="str">
            <v>G</v>
          </cell>
          <cell r="R195">
            <v>3</v>
          </cell>
          <cell r="X195">
            <v>1</v>
          </cell>
        </row>
        <row r="196">
          <cell r="C196" t="str">
            <v>LIBANO</v>
          </cell>
          <cell r="D196" t="str">
            <v>TOLIMA</v>
          </cell>
          <cell r="E196">
            <v>25772</v>
          </cell>
          <cell r="F196">
            <v>2238</v>
          </cell>
          <cell r="G196" t="str">
            <v>G</v>
          </cell>
          <cell r="R196">
            <v>1</v>
          </cell>
          <cell r="X196">
            <v>1</v>
          </cell>
        </row>
        <row r="197">
          <cell r="C197" t="str">
            <v>EL BAGRE</v>
          </cell>
          <cell r="D197" t="str">
            <v>ANTIOQUIA</v>
          </cell>
          <cell r="E197">
            <v>25193</v>
          </cell>
          <cell r="F197">
            <v>874</v>
          </cell>
          <cell r="G197" t="str">
            <v>F</v>
          </cell>
          <cell r="R197">
            <v>0</v>
          </cell>
          <cell r="X197">
            <v>1</v>
          </cell>
        </row>
        <row r="198">
          <cell r="C198" t="str">
            <v>CHAPARRAL</v>
          </cell>
          <cell r="D198" t="str">
            <v>TOLIMA</v>
          </cell>
          <cell r="E198">
            <v>25134</v>
          </cell>
          <cell r="F198">
            <v>1350</v>
          </cell>
          <cell r="G198" t="str">
            <v>G</v>
          </cell>
          <cell r="R198">
            <v>1</v>
          </cell>
          <cell r="X198">
            <v>1</v>
          </cell>
        </row>
        <row r="199">
          <cell r="C199" t="str">
            <v>CAMPO ALEGRE</v>
          </cell>
          <cell r="D199" t="str">
            <v>HUILA</v>
          </cell>
          <cell r="E199">
            <v>23949</v>
          </cell>
          <cell r="F199">
            <v>1342</v>
          </cell>
          <cell r="G199" t="str">
            <v>G</v>
          </cell>
          <cell r="R199">
            <v>1</v>
          </cell>
          <cell r="X199">
            <v>2</v>
          </cell>
        </row>
        <row r="200">
          <cell r="C200" t="str">
            <v>LA UNION</v>
          </cell>
          <cell r="D200" t="str">
            <v>VALLE</v>
          </cell>
          <cell r="E200">
            <v>23836</v>
          </cell>
          <cell r="F200">
            <v>1214</v>
          </cell>
          <cell r="G200" t="str">
            <v>G</v>
          </cell>
          <cell r="R200">
            <v>1</v>
          </cell>
          <cell r="X200">
            <v>1</v>
          </cell>
        </row>
        <row r="201">
          <cell r="C201" t="str">
            <v>SABANAGRANDE</v>
          </cell>
          <cell r="D201" t="str">
            <v>ATLANTICO</v>
          </cell>
          <cell r="E201">
            <v>23749</v>
          </cell>
          <cell r="F201">
            <v>510</v>
          </cell>
          <cell r="G201" t="str">
            <v>F</v>
          </cell>
          <cell r="R201">
            <v>0</v>
          </cell>
          <cell r="X201">
            <v>1</v>
          </cell>
        </row>
        <row r="202">
          <cell r="C202" t="str">
            <v>SAN JUAN NEPOMUCENO </v>
          </cell>
          <cell r="D202" t="str">
            <v>BOLIVAR</v>
          </cell>
          <cell r="E202">
            <v>23726</v>
          </cell>
          <cell r="F202">
            <v>642</v>
          </cell>
          <cell r="G202" t="str">
            <v>E</v>
          </cell>
          <cell r="R202">
            <v>0</v>
          </cell>
          <cell r="X202">
            <v>1</v>
          </cell>
        </row>
        <row r="203">
          <cell r="C203" t="str">
            <v>ROLDANILLO</v>
          </cell>
          <cell r="D203" t="str">
            <v>VALLE</v>
          </cell>
          <cell r="E203">
            <v>23605</v>
          </cell>
          <cell r="F203">
            <v>1677</v>
          </cell>
          <cell r="G203" t="str">
            <v>G</v>
          </cell>
          <cell r="R203">
            <v>1</v>
          </cell>
          <cell r="X203">
            <v>1</v>
          </cell>
        </row>
        <row r="204">
          <cell r="C204" t="str">
            <v>CAICEDONIA</v>
          </cell>
          <cell r="D204" t="str">
            <v>VALLE</v>
          </cell>
          <cell r="E204">
            <v>23452</v>
          </cell>
          <cell r="F204">
            <v>1778</v>
          </cell>
          <cell r="G204" t="str">
            <v>F</v>
          </cell>
          <cell r="R204">
            <v>1</v>
          </cell>
          <cell r="X204">
            <v>1</v>
          </cell>
        </row>
        <row r="205">
          <cell r="C205" t="str">
            <v>MARIQUITA</v>
          </cell>
          <cell r="D205" t="str">
            <v>TOLIMA</v>
          </cell>
          <cell r="E205">
            <v>23376</v>
          </cell>
          <cell r="F205">
            <v>1438</v>
          </cell>
          <cell r="G205" t="str">
            <v>G</v>
          </cell>
          <cell r="R205">
            <v>2</v>
          </cell>
          <cell r="X205">
            <v>1</v>
          </cell>
        </row>
        <row r="206">
          <cell r="C206" t="str">
            <v>LETICIA</v>
          </cell>
          <cell r="D206" t="str">
            <v>AMAZONAS</v>
          </cell>
          <cell r="E206">
            <v>23194</v>
          </cell>
          <cell r="F206">
            <v>1105</v>
          </cell>
          <cell r="G206" t="str">
            <v>G</v>
          </cell>
          <cell r="R206">
            <v>1</v>
          </cell>
          <cell r="X206">
            <v>1</v>
          </cell>
        </row>
        <row r="207">
          <cell r="C207" t="str">
            <v>CARMEN DEL VIBORAL</v>
          </cell>
          <cell r="D207" t="str">
            <v>ANTIOQUIA</v>
          </cell>
          <cell r="E207">
            <v>22945</v>
          </cell>
          <cell r="F207">
            <v>972</v>
          </cell>
          <cell r="G207" t="str">
            <v>F</v>
          </cell>
          <cell r="R207">
            <v>1</v>
          </cell>
          <cell r="X207">
            <v>1</v>
          </cell>
        </row>
        <row r="208">
          <cell r="C208" t="str">
            <v>SOCORRO</v>
          </cell>
          <cell r="D208" t="str">
            <v>SANTANDER</v>
          </cell>
          <cell r="E208">
            <v>22807</v>
          </cell>
          <cell r="F208">
            <v>1836</v>
          </cell>
          <cell r="G208" t="str">
            <v>G</v>
          </cell>
          <cell r="R208">
            <v>2</v>
          </cell>
          <cell r="X208">
            <v>2</v>
          </cell>
        </row>
        <row r="209">
          <cell r="C209" t="str">
            <v>MIRANDA</v>
          </cell>
          <cell r="D209" t="str">
            <v>CAUCA</v>
          </cell>
          <cell r="E209">
            <v>22749</v>
          </cell>
          <cell r="F209">
            <v>867</v>
          </cell>
          <cell r="G209" t="str">
            <v>F</v>
          </cell>
          <cell r="R209">
            <v>0</v>
          </cell>
          <cell r="X209">
            <v>1</v>
          </cell>
        </row>
        <row r="210">
          <cell r="C210" t="str">
            <v>MOMPOS</v>
          </cell>
          <cell r="D210" t="str">
            <v>BOLIVAR</v>
          </cell>
          <cell r="E210">
            <v>22650</v>
          </cell>
          <cell r="F210">
            <v>1104</v>
          </cell>
          <cell r="G210" t="str">
            <v>C</v>
          </cell>
          <cell r="R210">
            <v>1</v>
          </cell>
          <cell r="X210">
            <v>1</v>
          </cell>
        </row>
        <row r="211">
          <cell r="C211" t="str">
            <v>TOLU VIEJO</v>
          </cell>
          <cell r="D211" t="str">
            <v>SUCRE</v>
          </cell>
          <cell r="E211">
            <v>22264</v>
          </cell>
          <cell r="F211">
            <v>1192</v>
          </cell>
          <cell r="G211" t="str">
            <v>E</v>
          </cell>
          <cell r="R211">
            <v>0</v>
          </cell>
          <cell r="X211">
            <v>1</v>
          </cell>
        </row>
        <row r="212">
          <cell r="C212" t="str">
            <v>PALMAR</v>
          </cell>
          <cell r="D212" t="str">
            <v>ATLANTICO</v>
          </cell>
          <cell r="E212">
            <v>22171</v>
          </cell>
          <cell r="F212">
            <v>575</v>
          </cell>
          <cell r="G212" t="str">
            <v>E</v>
          </cell>
          <cell r="R212">
            <v>0</v>
          </cell>
        </row>
        <row r="213">
          <cell r="C213" t="str">
            <v>SANTO TOMAS</v>
          </cell>
          <cell r="D213" t="str">
            <v>ATLANTICO</v>
          </cell>
          <cell r="E213">
            <v>22047</v>
          </cell>
          <cell r="F213">
            <v>522</v>
          </cell>
          <cell r="G213" t="str">
            <v>F</v>
          </cell>
          <cell r="R213">
            <v>0</v>
          </cell>
          <cell r="X213">
            <v>1</v>
          </cell>
        </row>
        <row r="214">
          <cell r="C214" t="str">
            <v>UBATE</v>
          </cell>
          <cell r="D214" t="str">
            <v>CUNDINAMARCA</v>
          </cell>
          <cell r="E214">
            <v>21966</v>
          </cell>
          <cell r="F214">
            <v>2014</v>
          </cell>
          <cell r="G214" t="str">
            <v>G</v>
          </cell>
          <cell r="R214">
            <v>3</v>
          </cell>
          <cell r="X214">
            <v>3</v>
          </cell>
        </row>
        <row r="215">
          <cell r="C215" t="str">
            <v>SINCE</v>
          </cell>
          <cell r="D215" t="str">
            <v>SUCRE</v>
          </cell>
          <cell r="E215">
            <v>21866</v>
          </cell>
          <cell r="F215">
            <v>734</v>
          </cell>
          <cell r="G215" t="str">
            <v>F</v>
          </cell>
          <cell r="R215">
            <v>0</v>
          </cell>
          <cell r="X215">
            <v>1</v>
          </cell>
        </row>
        <row r="216">
          <cell r="C216" t="str">
            <v>CHINU</v>
          </cell>
          <cell r="D216" t="str">
            <v>CORDOBA</v>
          </cell>
          <cell r="E216">
            <v>20997</v>
          </cell>
          <cell r="F216">
            <v>627</v>
          </cell>
          <cell r="G216" t="str">
            <v>F</v>
          </cell>
          <cell r="R216">
            <v>2</v>
          </cell>
        </row>
        <row r="217">
          <cell r="C217" t="str">
            <v>AYAPEL</v>
          </cell>
          <cell r="D217" t="str">
            <v>CORDOBA</v>
          </cell>
          <cell r="E217">
            <v>20923</v>
          </cell>
          <cell r="F217">
            <v>756</v>
          </cell>
          <cell r="G217" t="str">
            <v>E</v>
          </cell>
          <cell r="R217">
            <v>0</v>
          </cell>
          <cell r="X217">
            <v>1</v>
          </cell>
        </row>
        <row r="218">
          <cell r="C218" t="str">
            <v>CIENAGA DE ORO</v>
          </cell>
          <cell r="D218" t="str">
            <v>CORDOBA</v>
          </cell>
          <cell r="E218">
            <v>20858</v>
          </cell>
          <cell r="F218">
            <v>707</v>
          </cell>
          <cell r="G218" t="str">
            <v>F</v>
          </cell>
          <cell r="R218">
            <v>0</v>
          </cell>
          <cell r="X218">
            <v>1</v>
          </cell>
        </row>
        <row r="219">
          <cell r="C219" t="str">
            <v>LA PLATA</v>
          </cell>
          <cell r="D219" t="str">
            <v>HUILA</v>
          </cell>
          <cell r="E219">
            <v>20778</v>
          </cell>
          <cell r="F219">
            <v>1108</v>
          </cell>
          <cell r="G219" t="str">
            <v>G</v>
          </cell>
          <cell r="R219">
            <v>1</v>
          </cell>
          <cell r="X219">
            <v>3</v>
          </cell>
        </row>
        <row r="220">
          <cell r="C220" t="str">
            <v>AGUAZUL </v>
          </cell>
          <cell r="D220" t="str">
            <v>CASANARE</v>
          </cell>
          <cell r="E220">
            <v>19986</v>
          </cell>
          <cell r="F220">
            <v>1251</v>
          </cell>
          <cell r="G220" t="str">
            <v>G</v>
          </cell>
          <cell r="R220">
            <v>1</v>
          </cell>
          <cell r="X220">
            <v>1</v>
          </cell>
        </row>
        <row r="221">
          <cell r="C221" t="str">
            <v>BARBOSA</v>
          </cell>
          <cell r="D221" t="str">
            <v>SANTANDER</v>
          </cell>
          <cell r="E221">
            <v>19969</v>
          </cell>
          <cell r="F221">
            <v>1929</v>
          </cell>
          <cell r="G221" t="str">
            <v>G</v>
          </cell>
          <cell r="R221">
            <v>1</v>
          </cell>
          <cell r="X221">
            <v>1</v>
          </cell>
        </row>
        <row r="222">
          <cell r="C222" t="str">
            <v>SANTUARIO</v>
          </cell>
          <cell r="D222" t="str">
            <v>ANTIOQUIA</v>
          </cell>
          <cell r="E222">
            <v>19944</v>
          </cell>
          <cell r="F222">
            <v>839</v>
          </cell>
          <cell r="G222" t="str">
            <v>F</v>
          </cell>
          <cell r="R222">
            <v>1</v>
          </cell>
          <cell r="X222">
            <v>1</v>
          </cell>
        </row>
        <row r="223">
          <cell r="C223" t="str">
            <v>ARACATACA</v>
          </cell>
          <cell r="D223" t="str">
            <v>MAGDALENA</v>
          </cell>
          <cell r="E223">
            <v>19915</v>
          </cell>
          <cell r="F223">
            <v>663</v>
          </cell>
          <cell r="G223" t="str">
            <v>F</v>
          </cell>
          <cell r="R223">
            <v>0</v>
          </cell>
          <cell r="X223">
            <v>1</v>
          </cell>
        </row>
        <row r="224">
          <cell r="C224" t="str">
            <v>ANSERMA</v>
          </cell>
          <cell r="D224" t="str">
            <v>CALDAS</v>
          </cell>
          <cell r="E224">
            <v>19626</v>
          </cell>
          <cell r="F224">
            <v>974</v>
          </cell>
          <cell r="G224" t="str">
            <v>G</v>
          </cell>
          <cell r="R224">
            <v>1</v>
          </cell>
          <cell r="X224">
            <v>1</v>
          </cell>
        </row>
        <row r="225">
          <cell r="C225" t="str">
            <v>SAN JACINTO </v>
          </cell>
          <cell r="D225" t="str">
            <v>BOLIVAR</v>
          </cell>
          <cell r="E225">
            <v>19322</v>
          </cell>
          <cell r="F225">
            <v>947</v>
          </cell>
          <cell r="G225" t="str">
            <v>D</v>
          </cell>
          <cell r="R225">
            <v>0</v>
          </cell>
          <cell r="X225">
            <v>1</v>
          </cell>
        </row>
        <row r="226">
          <cell r="C226" t="str">
            <v>ANDES</v>
          </cell>
          <cell r="D226" t="str">
            <v>ANTIOQUIA</v>
          </cell>
          <cell r="E226">
            <v>19283</v>
          </cell>
          <cell r="F226">
            <v>1225</v>
          </cell>
          <cell r="G226" t="str">
            <v>G</v>
          </cell>
          <cell r="R226">
            <v>0</v>
          </cell>
          <cell r="X226">
            <v>1</v>
          </cell>
        </row>
        <row r="227">
          <cell r="C227" t="str">
            <v>PIVIJAY</v>
          </cell>
          <cell r="D227" t="str">
            <v>MAGDALENA</v>
          </cell>
          <cell r="E227">
            <v>19079</v>
          </cell>
          <cell r="F227">
            <v>831</v>
          </cell>
          <cell r="G227" t="str">
            <v>D</v>
          </cell>
          <cell r="R227">
            <v>0</v>
          </cell>
          <cell r="X227">
            <v>1</v>
          </cell>
        </row>
        <row r="228">
          <cell r="C228" t="str">
            <v>TAME</v>
          </cell>
          <cell r="D228" t="str">
            <v>ARAUCA</v>
          </cell>
          <cell r="E228">
            <v>19050</v>
          </cell>
          <cell r="F228">
            <v>442</v>
          </cell>
          <cell r="G228" t="str">
            <v>G</v>
          </cell>
          <cell r="R228">
            <v>0</v>
          </cell>
        </row>
        <row r="229">
          <cell r="C229" t="str">
            <v>FONSECA</v>
          </cell>
          <cell r="D229" t="str">
            <v>LA GUAJIRA</v>
          </cell>
          <cell r="E229">
            <v>18958</v>
          </cell>
          <cell r="F229">
            <v>844</v>
          </cell>
          <cell r="G229" t="str">
            <v>F</v>
          </cell>
          <cell r="R229">
            <v>2</v>
          </cell>
          <cell r="X229">
            <v>1</v>
          </cell>
        </row>
        <row r="230">
          <cell r="C230" t="str">
            <v>PUERTO LOPEZ</v>
          </cell>
          <cell r="D230" t="str">
            <v>META</v>
          </cell>
          <cell r="E230">
            <v>18530</v>
          </cell>
          <cell r="F230">
            <v>851</v>
          </cell>
          <cell r="G230" t="str">
            <v>G</v>
          </cell>
          <cell r="R230">
            <v>0</v>
          </cell>
          <cell r="X230">
            <v>1</v>
          </cell>
        </row>
        <row r="231">
          <cell r="C231" t="str">
            <v>TARAZA</v>
          </cell>
          <cell r="D231" t="str">
            <v>ANTIOQUIA</v>
          </cell>
          <cell r="E231">
            <v>18427</v>
          </cell>
          <cell r="F231">
            <v>674</v>
          </cell>
          <cell r="G231" t="str">
            <v>E</v>
          </cell>
          <cell r="R231">
            <v>0</v>
          </cell>
        </row>
        <row r="232">
          <cell r="C232" t="str">
            <v>SAN MARTIN</v>
          </cell>
          <cell r="D232" t="str">
            <v>META</v>
          </cell>
          <cell r="E232">
            <v>18419</v>
          </cell>
          <cell r="F232">
            <v>1003</v>
          </cell>
          <cell r="G232" t="str">
            <v>F</v>
          </cell>
          <cell r="R232">
            <v>2</v>
          </cell>
          <cell r="X232">
            <v>2</v>
          </cell>
        </row>
        <row r="233">
          <cell r="C233" t="str">
            <v>GUACARI</v>
          </cell>
          <cell r="D233" t="str">
            <v>VALLE</v>
          </cell>
          <cell r="E233">
            <v>18289</v>
          </cell>
          <cell r="F233">
            <v>882</v>
          </cell>
          <cell r="G233" t="str">
            <v>F</v>
          </cell>
          <cell r="R233">
            <v>1</v>
          </cell>
          <cell r="X233">
            <v>1</v>
          </cell>
        </row>
        <row r="234">
          <cell r="C234" t="str">
            <v>VILLANUEVA </v>
          </cell>
          <cell r="D234" t="str">
            <v>LA GUAJIRA</v>
          </cell>
          <cell r="E234">
            <v>18213</v>
          </cell>
          <cell r="F234">
            <v>652</v>
          </cell>
          <cell r="G234" t="str">
            <v>F</v>
          </cell>
          <cell r="R234">
            <v>0</v>
          </cell>
          <cell r="X234">
            <v>1</v>
          </cell>
        </row>
        <row r="235">
          <cell r="C235" t="str">
            <v>EL DIFICIL</v>
          </cell>
          <cell r="D235" t="str">
            <v>MAGDALENA</v>
          </cell>
          <cell r="E235">
            <v>18170</v>
          </cell>
          <cell r="F235">
            <v>694</v>
          </cell>
          <cell r="G235" t="str">
            <v>E</v>
          </cell>
          <cell r="R235">
            <v>0</v>
          </cell>
          <cell r="X235">
            <v>1</v>
          </cell>
        </row>
        <row r="236">
          <cell r="C236" t="str">
            <v>EL COPEY</v>
          </cell>
          <cell r="D236" t="str">
            <v>CESAR</v>
          </cell>
          <cell r="E236">
            <v>18135</v>
          </cell>
          <cell r="F236">
            <v>892</v>
          </cell>
          <cell r="G236" t="str">
            <v>E</v>
          </cell>
          <cell r="R236">
            <v>0</v>
          </cell>
          <cell r="X236">
            <v>1</v>
          </cell>
        </row>
        <row r="237">
          <cell r="C237" t="str">
            <v>ISTMINA</v>
          </cell>
          <cell r="D237" t="str">
            <v>CHOCO</v>
          </cell>
          <cell r="E237">
            <v>18081</v>
          </cell>
          <cell r="F237">
            <v>885</v>
          </cell>
          <cell r="G237" t="str">
            <v>F</v>
          </cell>
          <cell r="R237">
            <v>1</v>
          </cell>
          <cell r="X237">
            <v>1</v>
          </cell>
        </row>
        <row r="238">
          <cell r="C238" t="str">
            <v>CURUMANI</v>
          </cell>
          <cell r="D238" t="str">
            <v>CESAR</v>
          </cell>
          <cell r="E238">
            <v>17848</v>
          </cell>
          <cell r="F238">
            <v>883</v>
          </cell>
          <cell r="G238" t="str">
            <v>F</v>
          </cell>
          <cell r="R238">
            <v>0</v>
          </cell>
          <cell r="X238">
            <v>1</v>
          </cell>
        </row>
        <row r="239">
          <cell r="C239" t="str">
            <v>SAMANIEGO</v>
          </cell>
          <cell r="D239" t="str">
            <v>NARIÑO</v>
          </cell>
          <cell r="E239">
            <v>17813</v>
          </cell>
          <cell r="F239">
            <v>524</v>
          </cell>
          <cell r="G239" t="str">
            <v>F</v>
          </cell>
          <cell r="R239">
            <v>1</v>
          </cell>
          <cell r="X239">
            <v>1</v>
          </cell>
        </row>
        <row r="240">
          <cell r="C240" t="str">
            <v>ORITO</v>
          </cell>
          <cell r="D240" t="str">
            <v>PUTUMAYO</v>
          </cell>
          <cell r="E240">
            <v>17731</v>
          </cell>
          <cell r="F240">
            <v>660</v>
          </cell>
          <cell r="G240" t="str">
            <v>F</v>
          </cell>
          <cell r="R240">
            <v>0</v>
          </cell>
          <cell r="X240">
            <v>1</v>
          </cell>
        </row>
        <row r="241">
          <cell r="C241" t="str">
            <v>SAN JUAN DEL CESAR</v>
          </cell>
          <cell r="D241" t="str">
            <v>LA GUAJIRA</v>
          </cell>
          <cell r="E241">
            <v>17373</v>
          </cell>
          <cell r="F241">
            <v>705</v>
          </cell>
          <cell r="G241" t="str">
            <v>F</v>
          </cell>
          <cell r="R241">
            <v>0</v>
          </cell>
          <cell r="X241">
            <v>1</v>
          </cell>
        </row>
        <row r="242">
          <cell r="C242" t="str">
            <v>VILLANUEVA</v>
          </cell>
          <cell r="D242" t="str">
            <v>CASANARE</v>
          </cell>
          <cell r="E242">
            <v>17331</v>
          </cell>
          <cell r="F242">
            <v>1174</v>
          </cell>
          <cell r="G242" t="str">
            <v>G</v>
          </cell>
          <cell r="R242">
            <v>1</v>
          </cell>
          <cell r="X242">
            <v>1</v>
          </cell>
        </row>
        <row r="243">
          <cell r="C243" t="str">
            <v>SAN ONOFRE</v>
          </cell>
          <cell r="D243" t="str">
            <v>SUCRE</v>
          </cell>
          <cell r="E243">
            <v>17118</v>
          </cell>
          <cell r="F243">
            <v>459</v>
          </cell>
          <cell r="G243" t="str">
            <v>F</v>
          </cell>
          <cell r="R243">
            <v>0</v>
          </cell>
          <cell r="X243">
            <v>1</v>
          </cell>
        </row>
        <row r="244">
          <cell r="C244" t="str">
            <v>LA JAGUA DE IBIRICO CESAR</v>
          </cell>
          <cell r="D244" t="str">
            <v>CESAR</v>
          </cell>
          <cell r="E244">
            <v>16694</v>
          </cell>
          <cell r="F244">
            <v>731</v>
          </cell>
          <cell r="G244" t="str">
            <v>F</v>
          </cell>
          <cell r="R244">
            <v>0</v>
          </cell>
          <cell r="X244">
            <v>1</v>
          </cell>
        </row>
        <row r="245">
          <cell r="C245" t="str">
            <v>GUAPI</v>
          </cell>
          <cell r="D245" t="str">
            <v>CAUCA</v>
          </cell>
          <cell r="E245">
            <v>16573</v>
          </cell>
          <cell r="F245">
            <v>578</v>
          </cell>
          <cell r="G245" t="str">
            <v>F</v>
          </cell>
          <cell r="R245">
            <v>0</v>
          </cell>
          <cell r="X245">
            <v>1</v>
          </cell>
        </row>
        <row r="246">
          <cell r="C246" t="str">
            <v>CIUDAD BOLIVAR</v>
          </cell>
          <cell r="D246" t="str">
            <v>ANTIOQUIA</v>
          </cell>
          <cell r="E246">
            <v>16235</v>
          </cell>
          <cell r="F246">
            <v>1010</v>
          </cell>
          <cell r="G246" t="str">
            <v>F</v>
          </cell>
          <cell r="R246">
            <v>0</v>
          </cell>
          <cell r="X246">
            <v>1</v>
          </cell>
        </row>
        <row r="247">
          <cell r="C247" t="str">
            <v>GUAMO</v>
          </cell>
          <cell r="D247" t="str">
            <v>TOLIMA</v>
          </cell>
          <cell r="E247">
            <v>16163</v>
          </cell>
          <cell r="F247">
            <v>844</v>
          </cell>
          <cell r="G247" t="str">
            <v>G</v>
          </cell>
          <cell r="R247">
            <v>1</v>
          </cell>
          <cell r="X247">
            <v>1</v>
          </cell>
        </row>
        <row r="248">
          <cell r="C248" t="str">
            <v>PAZ DE ARIPORO</v>
          </cell>
          <cell r="D248" t="str">
            <v>CASANARE</v>
          </cell>
          <cell r="E248">
            <v>15906</v>
          </cell>
          <cell r="F248">
            <v>883</v>
          </cell>
          <cell r="G248" t="str">
            <v>F</v>
          </cell>
          <cell r="R248">
            <v>0</v>
          </cell>
          <cell r="X248">
            <v>1</v>
          </cell>
        </row>
        <row r="249">
          <cell r="C249" t="str">
            <v>CAMPO DE LA CRUZ</v>
          </cell>
          <cell r="D249" t="str">
            <v>ATLANTICO</v>
          </cell>
          <cell r="E249">
            <v>15835</v>
          </cell>
          <cell r="F249">
            <v>236</v>
          </cell>
          <cell r="G249" t="str">
            <v>D</v>
          </cell>
          <cell r="R249">
            <v>0</v>
          </cell>
          <cell r="X249">
            <v>1</v>
          </cell>
        </row>
        <row r="250">
          <cell r="C250" t="str">
            <v>ARAUQUITA</v>
          </cell>
          <cell r="D250" t="str">
            <v>ARAUCA</v>
          </cell>
          <cell r="E250">
            <v>15691</v>
          </cell>
          <cell r="F250">
            <v>417</v>
          </cell>
          <cell r="G250" t="str">
            <v>E</v>
          </cell>
          <cell r="R250">
            <v>0</v>
          </cell>
          <cell r="X250">
            <v>1</v>
          </cell>
        </row>
        <row r="251">
          <cell r="C251" t="str">
            <v>PURIFICACION</v>
          </cell>
          <cell r="D251" t="str">
            <v>TOLIMA</v>
          </cell>
          <cell r="E251">
            <v>15587</v>
          </cell>
          <cell r="F251">
            <v>629</v>
          </cell>
          <cell r="G251" t="str">
            <v>G</v>
          </cell>
          <cell r="R251">
            <v>0</v>
          </cell>
          <cell r="X251">
            <v>2</v>
          </cell>
        </row>
        <row r="252">
          <cell r="C252" t="str">
            <v>PUERTO WILCHES</v>
          </cell>
          <cell r="D252" t="str">
            <v>SANTANDER</v>
          </cell>
          <cell r="E252">
            <v>15585</v>
          </cell>
          <cell r="F252">
            <v>887</v>
          </cell>
          <cell r="G252" t="str">
            <v>E</v>
          </cell>
          <cell r="R252">
            <v>0</v>
          </cell>
          <cell r="X252">
            <v>1</v>
          </cell>
        </row>
        <row r="253">
          <cell r="C253" t="str">
            <v>SONSON</v>
          </cell>
          <cell r="D253" t="str">
            <v>ANTIOQUIA</v>
          </cell>
          <cell r="E253">
            <v>15470</v>
          </cell>
          <cell r="F253">
            <v>1111</v>
          </cell>
          <cell r="G253" t="str">
            <v>G</v>
          </cell>
          <cell r="R253">
            <v>0</v>
          </cell>
          <cell r="X253">
            <v>1</v>
          </cell>
        </row>
        <row r="254">
          <cell r="C254" t="str">
            <v>URRAO</v>
          </cell>
          <cell r="D254" t="str">
            <v>ANTIOQUIA</v>
          </cell>
          <cell r="E254">
            <v>15136</v>
          </cell>
          <cell r="F254">
            <v>676</v>
          </cell>
          <cell r="G254" t="str">
            <v>F</v>
          </cell>
          <cell r="R254">
            <v>0</v>
          </cell>
          <cell r="X254">
            <v>1</v>
          </cell>
        </row>
        <row r="255">
          <cell r="C255" t="str">
            <v>MALAGA</v>
          </cell>
          <cell r="D255" t="str">
            <v>SANTANDER</v>
          </cell>
          <cell r="E255">
            <v>14929</v>
          </cell>
          <cell r="F255">
            <v>1249</v>
          </cell>
          <cell r="G255" t="str">
            <v>G</v>
          </cell>
          <cell r="R255">
            <v>0</v>
          </cell>
          <cell r="X255">
            <v>1</v>
          </cell>
        </row>
        <row r="256">
          <cell r="C256" t="str">
            <v>GUADUAS</v>
          </cell>
          <cell r="D256" t="str">
            <v>CUNDINAMARCA</v>
          </cell>
          <cell r="E256">
            <v>14913</v>
          </cell>
          <cell r="F256">
            <v>831</v>
          </cell>
          <cell r="G256" t="str">
            <v>G</v>
          </cell>
          <cell r="R256">
            <v>0</v>
          </cell>
          <cell r="X256">
            <v>1</v>
          </cell>
        </row>
        <row r="257">
          <cell r="C257" t="str">
            <v>REPELON</v>
          </cell>
          <cell r="D257" t="str">
            <v>ATLANTICO</v>
          </cell>
          <cell r="E257">
            <v>14877</v>
          </cell>
          <cell r="F257">
            <v>361</v>
          </cell>
          <cell r="G257" t="str">
            <v>D</v>
          </cell>
          <cell r="R257">
            <v>0</v>
          </cell>
        </row>
        <row r="258">
          <cell r="C258" t="str">
            <v>SANTA ROSA DE OSOS</v>
          </cell>
          <cell r="D258" t="str">
            <v>ANTIOQUIA</v>
          </cell>
          <cell r="E258">
            <v>14810</v>
          </cell>
          <cell r="F258">
            <v>781</v>
          </cell>
          <cell r="G258" t="str">
            <v>G</v>
          </cell>
          <cell r="R258">
            <v>0</v>
          </cell>
          <cell r="X258">
            <v>1</v>
          </cell>
        </row>
        <row r="259">
          <cell r="C259" t="str">
            <v>ABREGO</v>
          </cell>
          <cell r="D259" t="str">
            <v>NORTE DE SANTANDER</v>
          </cell>
          <cell r="E259">
            <v>14683</v>
          </cell>
          <cell r="F259">
            <v>686</v>
          </cell>
          <cell r="G259" t="str">
            <v>F</v>
          </cell>
          <cell r="R259">
            <v>0</v>
          </cell>
          <cell r="X259">
            <v>1</v>
          </cell>
        </row>
        <row r="260">
          <cell r="C260" t="str">
            <v>SAN ANTERO</v>
          </cell>
          <cell r="D260" t="str">
            <v>CORDOBA</v>
          </cell>
          <cell r="E260">
            <v>14567</v>
          </cell>
          <cell r="F260">
            <v>256</v>
          </cell>
          <cell r="G260" t="str">
            <v>E</v>
          </cell>
          <cell r="R260">
            <v>1</v>
          </cell>
          <cell r="X260">
            <v>1</v>
          </cell>
        </row>
        <row r="261">
          <cell r="C261" t="str">
            <v>VILLETA</v>
          </cell>
          <cell r="D261" t="str">
            <v>CUNDINAMARCA</v>
          </cell>
          <cell r="E261">
            <v>14453</v>
          </cell>
          <cell r="F261">
            <v>1200</v>
          </cell>
          <cell r="G261" t="str">
            <v>G</v>
          </cell>
          <cell r="R261">
            <v>2</v>
          </cell>
          <cell r="X261">
            <v>1</v>
          </cell>
        </row>
        <row r="262">
          <cell r="C262" t="str">
            <v>GIGANTE</v>
          </cell>
          <cell r="D262" t="str">
            <v>HUILA</v>
          </cell>
          <cell r="E262">
            <v>14317</v>
          </cell>
          <cell r="F262">
            <v>562</v>
          </cell>
          <cell r="G262" t="str">
            <v>F</v>
          </cell>
          <cell r="R262">
            <v>1</v>
          </cell>
          <cell r="X262">
            <v>1</v>
          </cell>
        </row>
        <row r="263">
          <cell r="C263" t="str">
            <v>FRESNO</v>
          </cell>
          <cell r="D263" t="str">
            <v>TOLIMA</v>
          </cell>
          <cell r="E263">
            <v>14268</v>
          </cell>
          <cell r="F263">
            <v>1058</v>
          </cell>
          <cell r="G263" t="str">
            <v>G</v>
          </cell>
          <cell r="R263">
            <v>1</v>
          </cell>
          <cell r="X263">
            <v>1</v>
          </cell>
        </row>
        <row r="264">
          <cell r="C264" t="str">
            <v>AMAGA</v>
          </cell>
          <cell r="D264" t="str">
            <v>ANTIOQUIA</v>
          </cell>
          <cell r="E264">
            <v>14139</v>
          </cell>
          <cell r="F264">
            <v>595</v>
          </cell>
          <cell r="G264" t="str">
            <v>F</v>
          </cell>
          <cell r="R264">
            <v>0</v>
          </cell>
          <cell r="X264">
            <v>1</v>
          </cell>
        </row>
        <row r="265">
          <cell r="C265" t="str">
            <v>LEBRIJA</v>
          </cell>
          <cell r="D265" t="str">
            <v>SANTANDER</v>
          </cell>
          <cell r="E265">
            <v>14093</v>
          </cell>
          <cell r="F265">
            <v>792</v>
          </cell>
          <cell r="G265" t="str">
            <v>G</v>
          </cell>
          <cell r="R265">
            <v>0</v>
          </cell>
          <cell r="X265">
            <v>1</v>
          </cell>
        </row>
        <row r="266">
          <cell r="C266" t="str">
            <v>LA MESA</v>
          </cell>
          <cell r="D266" t="str">
            <v>CUNDINAMARCA</v>
          </cell>
          <cell r="E266">
            <v>14041</v>
          </cell>
          <cell r="F266">
            <v>1135</v>
          </cell>
          <cell r="G266" t="str">
            <v>G</v>
          </cell>
          <cell r="R266">
            <v>2</v>
          </cell>
          <cell r="X266">
            <v>3</v>
          </cell>
        </row>
        <row r="267">
          <cell r="C267" t="str">
            <v>SAN ALBERTO</v>
          </cell>
          <cell r="D267" t="str">
            <v>CESAR</v>
          </cell>
          <cell r="E267">
            <v>14030</v>
          </cell>
          <cell r="F267">
            <v>769</v>
          </cell>
          <cell r="G267" t="str">
            <v>G</v>
          </cell>
          <cell r="R267">
            <v>1</v>
          </cell>
          <cell r="X267">
            <v>2</v>
          </cell>
        </row>
        <row r="268">
          <cell r="C268" t="str">
            <v>LERIDA</v>
          </cell>
          <cell r="D268" t="str">
            <v>TOLIMA</v>
          </cell>
          <cell r="E268">
            <v>13977</v>
          </cell>
          <cell r="F268">
            <v>454</v>
          </cell>
          <cell r="G268" t="str">
            <v>G</v>
          </cell>
          <cell r="R268">
            <v>1</v>
          </cell>
          <cell r="X268">
            <v>1</v>
          </cell>
        </row>
        <row r="269">
          <cell r="C269" t="str">
            <v>GUARNE</v>
          </cell>
          <cell r="D269" t="str">
            <v>ANTIOQUIA</v>
          </cell>
          <cell r="E269">
            <v>13948</v>
          </cell>
          <cell r="F269">
            <v>1033</v>
          </cell>
          <cell r="G269" t="str">
            <v>E</v>
          </cell>
          <cell r="R269">
            <v>1</v>
          </cell>
          <cell r="X269">
            <v>1</v>
          </cell>
        </row>
        <row r="270">
          <cell r="C270" t="str">
            <v>ALGECIRAS</v>
          </cell>
          <cell r="D270" t="str">
            <v>HUILA</v>
          </cell>
          <cell r="E270">
            <v>13782</v>
          </cell>
          <cell r="F270">
            <v>790</v>
          </cell>
          <cell r="G270" t="str">
            <v>F</v>
          </cell>
          <cell r="R270">
            <v>0</v>
          </cell>
          <cell r="X270">
            <v>2</v>
          </cell>
        </row>
        <row r="271">
          <cell r="C271" t="str">
            <v>SANTA FE DE ANTIOQUIA</v>
          </cell>
          <cell r="D271" t="str">
            <v>ANTIOQUIA</v>
          </cell>
          <cell r="E271">
            <v>13757</v>
          </cell>
          <cell r="F271">
            <v>541</v>
          </cell>
          <cell r="G271" t="str">
            <v>G</v>
          </cell>
          <cell r="R271">
            <v>0</v>
          </cell>
          <cell r="X271">
            <v>1</v>
          </cell>
        </row>
        <row r="272">
          <cell r="C272" t="str">
            <v>ANDALUCIA</v>
          </cell>
          <cell r="D272" t="str">
            <v>VALLE</v>
          </cell>
          <cell r="E272">
            <v>13695</v>
          </cell>
          <cell r="F272">
            <v>611</v>
          </cell>
          <cell r="G272" t="str">
            <v>F</v>
          </cell>
          <cell r="R272">
            <v>0</v>
          </cell>
          <cell r="X272">
            <v>1</v>
          </cell>
        </row>
        <row r="273">
          <cell r="C273" t="str">
            <v>EL RETEN </v>
          </cell>
          <cell r="D273" t="str">
            <v>MAGDALENA</v>
          </cell>
          <cell r="E273">
            <v>13666</v>
          </cell>
          <cell r="F273">
            <v>259</v>
          </cell>
          <cell r="G273" t="str">
            <v>C</v>
          </cell>
          <cell r="R273">
            <v>0</v>
          </cell>
        </row>
        <row r="274">
          <cell r="C274" t="str">
            <v>NATAGAIMA</v>
          </cell>
          <cell r="D274" t="str">
            <v>TOLIMA</v>
          </cell>
          <cell r="E274">
            <v>13499</v>
          </cell>
          <cell r="F274">
            <v>354</v>
          </cell>
          <cell r="G274" t="str">
            <v>F</v>
          </cell>
          <cell r="R274">
            <v>0</v>
          </cell>
          <cell r="X274">
            <v>1</v>
          </cell>
        </row>
        <row r="275">
          <cell r="C275" t="str">
            <v>RIO SUCIO</v>
          </cell>
          <cell r="D275" t="str">
            <v>CALDAS</v>
          </cell>
          <cell r="E275">
            <v>13469</v>
          </cell>
          <cell r="F275">
            <v>1304</v>
          </cell>
          <cell r="G275" t="str">
            <v>G</v>
          </cell>
          <cell r="R275">
            <v>1</v>
          </cell>
          <cell r="X275">
            <v>1</v>
          </cell>
        </row>
        <row r="276">
          <cell r="C276" t="str">
            <v>PUERTO LIBERTADOR</v>
          </cell>
          <cell r="D276" t="str">
            <v>CORDOBA</v>
          </cell>
          <cell r="E276">
            <v>13425</v>
          </cell>
          <cell r="F276">
            <v>388</v>
          </cell>
          <cell r="G276" t="str">
            <v>D</v>
          </cell>
          <cell r="R276">
            <v>1</v>
          </cell>
          <cell r="X276">
            <v>1</v>
          </cell>
        </row>
        <row r="277">
          <cell r="C277" t="str">
            <v>PACHO</v>
          </cell>
          <cell r="D277" t="str">
            <v>CUNDINAMARCA</v>
          </cell>
          <cell r="E277">
            <v>13236</v>
          </cell>
          <cell r="F277">
            <v>972</v>
          </cell>
          <cell r="G277" t="str">
            <v>G</v>
          </cell>
          <cell r="R277">
            <v>0</v>
          </cell>
          <cell r="X277">
            <v>1</v>
          </cell>
        </row>
        <row r="278">
          <cell r="C278" t="str">
            <v>CHIRIGUANA</v>
          </cell>
          <cell r="D278" t="str">
            <v>CESAR</v>
          </cell>
          <cell r="E278">
            <v>13187</v>
          </cell>
          <cell r="F278">
            <v>546</v>
          </cell>
          <cell r="G278" t="str">
            <v>F</v>
          </cell>
          <cell r="R278">
            <v>0</v>
          </cell>
          <cell r="X278">
            <v>1</v>
          </cell>
        </row>
        <row r="279">
          <cell r="C279" t="str">
            <v>BARRANCA</v>
          </cell>
          <cell r="D279" t="str">
            <v>LA GUAJIRA</v>
          </cell>
          <cell r="E279">
            <v>13172</v>
          </cell>
          <cell r="F279">
            <v>491</v>
          </cell>
          <cell r="G279" t="str">
            <v>F</v>
          </cell>
          <cell r="R279">
            <v>0</v>
          </cell>
          <cell r="X279">
            <v>2</v>
          </cell>
        </row>
        <row r="280">
          <cell r="C280" t="str">
            <v>MITU</v>
          </cell>
          <cell r="D280" t="str">
            <v>VAUPES</v>
          </cell>
          <cell r="E280">
            <v>13171</v>
          </cell>
          <cell r="F280">
            <v>233</v>
          </cell>
          <cell r="G280" t="str">
            <v>F</v>
          </cell>
          <cell r="R280">
            <v>0</v>
          </cell>
          <cell r="X280">
            <v>1</v>
          </cell>
        </row>
        <row r="281">
          <cell r="C281" t="str">
            <v>EL DONCELLO</v>
          </cell>
          <cell r="D281" t="str">
            <v>CAQUETA</v>
          </cell>
          <cell r="E281">
            <v>13129</v>
          </cell>
          <cell r="F281">
            <v>875</v>
          </cell>
          <cell r="G281" t="str">
            <v>F</v>
          </cell>
          <cell r="R281">
            <v>1</v>
          </cell>
          <cell r="X281">
            <v>1</v>
          </cell>
        </row>
        <row r="282">
          <cell r="C282" t="str">
            <v>SITIONUEVO</v>
          </cell>
          <cell r="D282" t="str">
            <v>MAGDALENA</v>
          </cell>
          <cell r="E282">
            <v>12963</v>
          </cell>
          <cell r="F282">
            <v>234</v>
          </cell>
          <cell r="G282" t="str">
            <v>D</v>
          </cell>
          <cell r="R282">
            <v>0</v>
          </cell>
        </row>
        <row r="283">
          <cell r="C283" t="str">
            <v>CIMITARRA</v>
          </cell>
          <cell r="D283" t="str">
            <v>SANTANDER</v>
          </cell>
          <cell r="E283">
            <v>12896</v>
          </cell>
          <cell r="F283">
            <v>785</v>
          </cell>
          <cell r="G283" t="str">
            <v>G</v>
          </cell>
          <cell r="R283">
            <v>1</v>
          </cell>
          <cell r="X283">
            <v>1</v>
          </cell>
        </row>
        <row r="284">
          <cell r="C284" t="str">
            <v>SOPO</v>
          </cell>
          <cell r="D284" t="str">
            <v>CUNDINAMARCA</v>
          </cell>
          <cell r="E284">
            <v>12783</v>
          </cell>
          <cell r="F284">
            <v>539</v>
          </cell>
          <cell r="G284" t="str">
            <v>F</v>
          </cell>
          <cell r="R284">
            <v>1</v>
          </cell>
          <cell r="X284">
            <v>1</v>
          </cell>
        </row>
        <row r="285">
          <cell r="C285" t="str">
            <v>PALERMO</v>
          </cell>
          <cell r="D285" t="str">
            <v>HUILA</v>
          </cell>
          <cell r="E285">
            <v>12714</v>
          </cell>
          <cell r="F285">
            <v>672</v>
          </cell>
          <cell r="G285" t="str">
            <v>F</v>
          </cell>
          <cell r="R285">
            <v>0</v>
          </cell>
          <cell r="X285">
            <v>1</v>
          </cell>
        </row>
        <row r="286">
          <cell r="C286" t="str">
            <v>LA HORMIGA</v>
          </cell>
          <cell r="D286" t="str">
            <v>PUTUMAYO</v>
          </cell>
          <cell r="E286">
            <v>12615</v>
          </cell>
          <cell r="F286">
            <v>0</v>
          </cell>
          <cell r="G286" t="str">
            <v>F</v>
          </cell>
          <cell r="R286">
            <v>0</v>
          </cell>
          <cell r="X286">
            <v>1</v>
          </cell>
        </row>
        <row r="287">
          <cell r="C287" t="str">
            <v>ZARAGOZA</v>
          </cell>
          <cell r="D287" t="str">
            <v>ANTIOQUIA</v>
          </cell>
          <cell r="E287">
            <v>12558</v>
          </cell>
          <cell r="F287">
            <v>419</v>
          </cell>
          <cell r="G287" t="str">
            <v>E</v>
          </cell>
          <cell r="R287">
            <v>0</v>
          </cell>
        </row>
        <row r="288">
          <cell r="C288" t="str">
            <v>SAN VICENTE DE CHUCURI</v>
          </cell>
          <cell r="D288" t="str">
            <v>SANTANDER</v>
          </cell>
          <cell r="E288">
            <v>12553</v>
          </cell>
          <cell r="F288">
            <v>820</v>
          </cell>
          <cell r="G288" t="str">
            <v>G</v>
          </cell>
          <cell r="R288">
            <v>1</v>
          </cell>
          <cell r="X288">
            <v>1</v>
          </cell>
        </row>
        <row r="289">
          <cell r="C289" t="str">
            <v>VALENCIA</v>
          </cell>
          <cell r="D289" t="str">
            <v>CORDOBA</v>
          </cell>
          <cell r="E289">
            <v>12489</v>
          </cell>
          <cell r="F289">
            <v>506</v>
          </cell>
          <cell r="G289" t="str">
            <v>D</v>
          </cell>
          <cell r="R289">
            <v>0</v>
          </cell>
          <cell r="X289">
            <v>1</v>
          </cell>
        </row>
        <row r="290">
          <cell r="C290" t="str">
            <v>ARBOLETES</v>
          </cell>
          <cell r="D290" t="str">
            <v>ANTIOQUIA</v>
          </cell>
          <cell r="E290">
            <v>12427</v>
          </cell>
          <cell r="F290">
            <v>484</v>
          </cell>
          <cell r="G290" t="str">
            <v>F</v>
          </cell>
          <cell r="R290">
            <v>1</v>
          </cell>
          <cell r="X290">
            <v>1</v>
          </cell>
        </row>
        <row r="291">
          <cell r="C291" t="str">
            <v>PUERTO RICO</v>
          </cell>
          <cell r="D291" t="str">
            <v>CAQUETA</v>
          </cell>
          <cell r="E291">
            <v>12405</v>
          </cell>
          <cell r="F291">
            <v>560</v>
          </cell>
          <cell r="G291" t="str">
            <v>F</v>
          </cell>
          <cell r="R291">
            <v>1</v>
          </cell>
          <cell r="X291">
            <v>1</v>
          </cell>
        </row>
        <row r="292">
          <cell r="C292" t="str">
            <v>BELEN DE UMBRIA</v>
          </cell>
          <cell r="D292" t="str">
            <v>RISARALDA</v>
          </cell>
          <cell r="E292">
            <v>12328</v>
          </cell>
          <cell r="F292">
            <v>871</v>
          </cell>
          <cell r="G292" t="str">
            <v>F</v>
          </cell>
          <cell r="R292">
            <v>0</v>
          </cell>
          <cell r="X292">
            <v>1</v>
          </cell>
        </row>
        <row r="293">
          <cell r="C293" t="str">
            <v>AIPE</v>
          </cell>
          <cell r="D293" t="str">
            <v>HUILA</v>
          </cell>
          <cell r="E293">
            <v>12254</v>
          </cell>
          <cell r="F293">
            <v>315</v>
          </cell>
          <cell r="G293" t="str">
            <v>F</v>
          </cell>
          <cell r="R293">
            <v>1</v>
          </cell>
          <cell r="X293">
            <v>1</v>
          </cell>
        </row>
        <row r="294">
          <cell r="C294" t="str">
            <v>MANATI</v>
          </cell>
          <cell r="D294" t="str">
            <v>ATLANTICO</v>
          </cell>
          <cell r="E294">
            <v>12091</v>
          </cell>
          <cell r="F294">
            <v>404</v>
          </cell>
          <cell r="G294" t="str">
            <v>D</v>
          </cell>
          <cell r="R294">
            <v>0</v>
          </cell>
        </row>
        <row r="295">
          <cell r="C295" t="str">
            <v>GARAGOA</v>
          </cell>
          <cell r="D295" t="str">
            <v>BOYACA</v>
          </cell>
          <cell r="E295">
            <v>12084</v>
          </cell>
          <cell r="F295">
            <v>912</v>
          </cell>
          <cell r="G295" t="str">
            <v>G</v>
          </cell>
          <cell r="R295">
            <v>1</v>
          </cell>
          <cell r="X295">
            <v>1</v>
          </cell>
        </row>
        <row r="296">
          <cell r="C296" t="str">
            <v>BARBACOAS</v>
          </cell>
          <cell r="D296" t="str">
            <v>NARIÑO</v>
          </cell>
          <cell r="E296">
            <v>11939</v>
          </cell>
          <cell r="F296">
            <v>588</v>
          </cell>
          <cell r="G296" t="str">
            <v>F</v>
          </cell>
          <cell r="R296">
            <v>0</v>
          </cell>
          <cell r="X296">
            <v>1</v>
          </cell>
        </row>
        <row r="297">
          <cell r="C297" t="str">
            <v>SAN PEDRO DE URABA</v>
          </cell>
          <cell r="D297" t="str">
            <v>ANTIOQUIA</v>
          </cell>
          <cell r="E297">
            <v>11906</v>
          </cell>
          <cell r="F297">
            <v>430</v>
          </cell>
          <cell r="G297" t="str">
            <v>E</v>
          </cell>
          <cell r="R297">
            <v>1</v>
          </cell>
          <cell r="X297">
            <v>1</v>
          </cell>
        </row>
        <row r="298">
          <cell r="C298" t="str">
            <v>EL BORDO CAUCA</v>
          </cell>
          <cell r="D298" t="str">
            <v>CAUCA</v>
          </cell>
          <cell r="E298">
            <v>11720</v>
          </cell>
          <cell r="F298">
            <v>482</v>
          </cell>
          <cell r="G298" t="str">
            <v>G</v>
          </cell>
          <cell r="R298">
            <v>0</v>
          </cell>
          <cell r="X298">
            <v>1</v>
          </cell>
        </row>
        <row r="299">
          <cell r="C299" t="str">
            <v>TIBU</v>
          </cell>
          <cell r="D299" t="str">
            <v>NORTE DE SANTANDER</v>
          </cell>
          <cell r="E299">
            <v>11711</v>
          </cell>
          <cell r="F299">
            <v>574</v>
          </cell>
          <cell r="G299" t="str">
            <v>F</v>
          </cell>
          <cell r="R299">
            <v>2</v>
          </cell>
          <cell r="X299">
            <v>1</v>
          </cell>
        </row>
        <row r="300">
          <cell r="C300" t="str">
            <v>SUPIA</v>
          </cell>
          <cell r="D300" t="str">
            <v>CALDAS</v>
          </cell>
          <cell r="E300">
            <v>11573</v>
          </cell>
          <cell r="F300">
            <v>864</v>
          </cell>
          <cell r="G300" t="str">
            <v>F</v>
          </cell>
          <cell r="R300">
            <v>1</v>
          </cell>
          <cell r="X300">
            <v>1</v>
          </cell>
        </row>
        <row r="301">
          <cell r="C301" t="str">
            <v>SABANA DE TORRES</v>
          </cell>
          <cell r="D301" t="str">
            <v>SANTANDER</v>
          </cell>
          <cell r="E301">
            <v>11559</v>
          </cell>
          <cell r="F301">
            <v>767</v>
          </cell>
          <cell r="G301" t="str">
            <v>G</v>
          </cell>
          <cell r="R301">
            <v>0</v>
          </cell>
          <cell r="X301">
            <v>1</v>
          </cell>
        </row>
        <row r="302">
          <cell r="C302" t="str">
            <v>ANSERMANUEVO</v>
          </cell>
          <cell r="D302" t="str">
            <v>VALLE</v>
          </cell>
          <cell r="E302">
            <v>11538</v>
          </cell>
          <cell r="F302">
            <v>439</v>
          </cell>
          <cell r="G302" t="str">
            <v>E</v>
          </cell>
          <cell r="R302">
            <v>0</v>
          </cell>
          <cell r="X302">
            <v>1</v>
          </cell>
        </row>
        <row r="303">
          <cell r="C303" t="str">
            <v>PAILITAS</v>
          </cell>
          <cell r="D303" t="str">
            <v>CESAR</v>
          </cell>
          <cell r="E303">
            <v>11524</v>
          </cell>
          <cell r="F303">
            <v>711</v>
          </cell>
          <cell r="G303" t="str">
            <v>E</v>
          </cell>
          <cell r="R303">
            <v>1</v>
          </cell>
          <cell r="X303">
            <v>1</v>
          </cell>
        </row>
        <row r="304">
          <cell r="C304" t="str">
            <v>NECOCLI</v>
          </cell>
          <cell r="D304" t="str">
            <v>ANTIOQUIA</v>
          </cell>
          <cell r="E304">
            <v>11473</v>
          </cell>
          <cell r="F304">
            <v>611</v>
          </cell>
          <cell r="G304" t="str">
            <v>E</v>
          </cell>
          <cell r="R304">
            <v>1</v>
          </cell>
          <cell r="X304">
            <v>1</v>
          </cell>
        </row>
        <row r="305">
          <cell r="C305" t="str">
            <v>DON MATIAS</v>
          </cell>
          <cell r="D305" t="str">
            <v>ANTIOQUIA</v>
          </cell>
          <cell r="E305">
            <v>11452</v>
          </cell>
          <cell r="F305">
            <v>605</v>
          </cell>
          <cell r="G305" t="str">
            <v>F</v>
          </cell>
          <cell r="R305">
            <v>0</v>
          </cell>
          <cell r="X305">
            <v>1</v>
          </cell>
        </row>
        <row r="306">
          <cell r="C306" t="str">
            <v>SANTA ANA</v>
          </cell>
          <cell r="D306" t="str">
            <v>MAGDALENA</v>
          </cell>
          <cell r="E306">
            <v>11406</v>
          </cell>
          <cell r="F306">
            <v>348</v>
          </cell>
          <cell r="G306" t="str">
            <v>D</v>
          </cell>
          <cell r="R306">
            <v>0</v>
          </cell>
          <cell r="X306">
            <v>1</v>
          </cell>
        </row>
        <row r="307">
          <cell r="C307" t="str">
            <v>CALAMAR</v>
          </cell>
          <cell r="D307" t="str">
            <v>BOLIVAR</v>
          </cell>
          <cell r="E307">
            <v>11405</v>
          </cell>
          <cell r="F307">
            <v>331</v>
          </cell>
          <cell r="G307" t="str">
            <v>D</v>
          </cell>
          <cell r="R307">
            <v>0</v>
          </cell>
        </row>
        <row r="308">
          <cell r="C308" t="str">
            <v>PUEBLO NUEVO</v>
          </cell>
          <cell r="D308" t="str">
            <v>CORDOBA</v>
          </cell>
          <cell r="E308">
            <v>11394</v>
          </cell>
          <cell r="F308">
            <v>325</v>
          </cell>
          <cell r="G308" t="str">
            <v>C</v>
          </cell>
          <cell r="R308">
            <v>0</v>
          </cell>
          <cell r="X308">
            <v>1</v>
          </cell>
        </row>
        <row r="309">
          <cell r="C309" t="str">
            <v>BUGALAGRANDE</v>
          </cell>
          <cell r="D309" t="str">
            <v>VALLE</v>
          </cell>
          <cell r="E309">
            <v>11217</v>
          </cell>
          <cell r="F309">
            <v>430</v>
          </cell>
          <cell r="G309" t="str">
            <v>F</v>
          </cell>
          <cell r="R309">
            <v>0</v>
          </cell>
          <cell r="X309">
            <v>1</v>
          </cell>
        </row>
        <row r="310">
          <cell r="C310" t="str">
            <v>SALAMINA</v>
          </cell>
          <cell r="D310" t="str">
            <v>CALDAS</v>
          </cell>
          <cell r="E310">
            <v>11206</v>
          </cell>
          <cell r="F310">
            <v>726</v>
          </cell>
          <cell r="G310" t="str">
            <v>G</v>
          </cell>
          <cell r="R310">
            <v>0</v>
          </cell>
          <cell r="X310">
            <v>1</v>
          </cell>
        </row>
        <row r="311">
          <cell r="C311" t="str">
            <v>MARSELLA</v>
          </cell>
          <cell r="D311" t="str">
            <v>RISARALDA</v>
          </cell>
          <cell r="E311">
            <v>11123</v>
          </cell>
          <cell r="F311">
            <v>537</v>
          </cell>
          <cell r="G311" t="str">
            <v>F</v>
          </cell>
          <cell r="R311">
            <v>0</v>
          </cell>
          <cell r="X311">
            <v>1</v>
          </cell>
        </row>
        <row r="312">
          <cell r="C312" t="str">
            <v>PUERTO SALGAR</v>
          </cell>
          <cell r="D312" t="str">
            <v>CUNDINAMARCA</v>
          </cell>
          <cell r="E312">
            <v>11090</v>
          </cell>
          <cell r="F312">
            <v>481</v>
          </cell>
          <cell r="G312" t="str">
            <v>F</v>
          </cell>
          <cell r="R312">
            <v>0</v>
          </cell>
          <cell r="X312">
            <v>2</v>
          </cell>
        </row>
        <row r="313">
          <cell r="C313" t="str">
            <v>CHIMICHAGUA</v>
          </cell>
          <cell r="D313" t="str">
            <v>CESAR</v>
          </cell>
          <cell r="E313">
            <v>11090</v>
          </cell>
          <cell r="F313">
            <v>430</v>
          </cell>
          <cell r="G313" t="str">
            <v>E</v>
          </cell>
          <cell r="R313">
            <v>0</v>
          </cell>
          <cell r="X313">
            <v>1</v>
          </cell>
        </row>
        <row r="314">
          <cell r="C314" t="str">
            <v>OVEJAS</v>
          </cell>
          <cell r="D314" t="str">
            <v>SUCRE</v>
          </cell>
          <cell r="E314">
            <v>11078</v>
          </cell>
          <cell r="F314">
            <v>218</v>
          </cell>
          <cell r="G314" t="str">
            <v>E</v>
          </cell>
          <cell r="R314">
            <v>0</v>
          </cell>
          <cell r="X314">
            <v>1</v>
          </cell>
        </row>
        <row r="315">
          <cell r="C315" t="str">
            <v>POLONUEVO</v>
          </cell>
          <cell r="D315" t="str">
            <v>ATLANTICO</v>
          </cell>
          <cell r="E315">
            <v>11020</v>
          </cell>
          <cell r="F315">
            <v>238</v>
          </cell>
          <cell r="G315" t="str">
            <v>D</v>
          </cell>
          <cell r="R315">
            <v>0</v>
          </cell>
        </row>
        <row r="316">
          <cell r="C316" t="str">
            <v>AMALFI</v>
          </cell>
          <cell r="D316" t="str">
            <v>ANTIOQUIA</v>
          </cell>
          <cell r="E316">
            <v>10969</v>
          </cell>
          <cell r="F316">
            <v>579</v>
          </cell>
          <cell r="G316" t="str">
            <v>F</v>
          </cell>
          <cell r="R316">
            <v>0</v>
          </cell>
          <cell r="X316">
            <v>1</v>
          </cell>
        </row>
        <row r="317">
          <cell r="C317" t="str">
            <v>INIRIDA</v>
          </cell>
          <cell r="D317" t="str">
            <v>GUAINIA</v>
          </cell>
          <cell r="E317">
            <v>10891</v>
          </cell>
          <cell r="F317">
            <v>259</v>
          </cell>
          <cell r="G317" t="str">
            <v>J</v>
          </cell>
          <cell r="R317">
            <v>0</v>
          </cell>
          <cell r="X317">
            <v>1</v>
          </cell>
        </row>
        <row r="318">
          <cell r="C318" t="str">
            <v>LURUACO</v>
          </cell>
          <cell r="D318" t="str">
            <v>ATLANTICO</v>
          </cell>
          <cell r="E318">
            <v>10891</v>
          </cell>
          <cell r="F318">
            <v>222</v>
          </cell>
          <cell r="G318" t="str">
            <v>D</v>
          </cell>
          <cell r="R318">
            <v>0</v>
          </cell>
          <cell r="X318">
            <v>1</v>
          </cell>
        </row>
        <row r="319">
          <cell r="C319" t="str">
            <v>SAN PEDRO</v>
          </cell>
          <cell r="D319" t="str">
            <v>ANTIOQUIA</v>
          </cell>
          <cell r="E319">
            <v>10889</v>
          </cell>
          <cell r="F319">
            <v>568</v>
          </cell>
          <cell r="G319" t="str">
            <v>F</v>
          </cell>
          <cell r="R319">
            <v>0</v>
          </cell>
          <cell r="X319">
            <v>1</v>
          </cell>
        </row>
        <row r="320">
          <cell r="C320" t="str">
            <v>SAN PEDRO</v>
          </cell>
          <cell r="D320" t="str">
            <v>SUCRE</v>
          </cell>
          <cell r="E320">
            <v>10869</v>
          </cell>
          <cell r="F320">
            <v>299</v>
          </cell>
          <cell r="G320" t="str">
            <v>E</v>
          </cell>
          <cell r="R320">
            <v>0</v>
          </cell>
          <cell r="X320">
            <v>1</v>
          </cell>
        </row>
        <row r="321">
          <cell r="C321" t="str">
            <v>SANDONA</v>
          </cell>
          <cell r="D321" t="str">
            <v>NARIÑO</v>
          </cell>
          <cell r="E321">
            <v>10780</v>
          </cell>
          <cell r="F321">
            <v>613</v>
          </cell>
          <cell r="G321" t="str">
            <v>F</v>
          </cell>
          <cell r="R321">
            <v>1</v>
          </cell>
          <cell r="X321">
            <v>1</v>
          </cell>
        </row>
        <row r="322">
          <cell r="C322" t="str">
            <v>CORINTO</v>
          </cell>
          <cell r="D322" t="str">
            <v>CAUCA</v>
          </cell>
          <cell r="E322">
            <v>10745</v>
          </cell>
          <cell r="F322">
            <v>409</v>
          </cell>
          <cell r="G322" t="str">
            <v>F</v>
          </cell>
          <cell r="R322">
            <v>0</v>
          </cell>
          <cell r="X322">
            <v>1</v>
          </cell>
        </row>
        <row r="323">
          <cell r="C323" t="str">
            <v>SANTA BARBARA</v>
          </cell>
          <cell r="D323" t="str">
            <v>ANTIOQUIA</v>
          </cell>
          <cell r="E323">
            <v>10697</v>
          </cell>
          <cell r="F323">
            <v>723</v>
          </cell>
          <cell r="G323" t="str">
            <v>F</v>
          </cell>
          <cell r="R323">
            <v>0</v>
          </cell>
          <cell r="X323">
            <v>1</v>
          </cell>
        </row>
        <row r="324">
          <cell r="C324" t="str">
            <v>SANTA LUCIA</v>
          </cell>
          <cell r="D324" t="str">
            <v>ATLANTICO</v>
          </cell>
          <cell r="E324">
            <v>10696</v>
          </cell>
          <cell r="F324">
            <v>160</v>
          </cell>
          <cell r="G324" t="str">
            <v>C</v>
          </cell>
          <cell r="R324">
            <v>0</v>
          </cell>
        </row>
        <row r="325">
          <cell r="C325" t="str">
            <v>NECHI</v>
          </cell>
          <cell r="D325" t="str">
            <v>ANTIOQUIA</v>
          </cell>
          <cell r="E325">
            <v>10606</v>
          </cell>
          <cell r="F325">
            <v>523</v>
          </cell>
          <cell r="G325" t="str">
            <v>D</v>
          </cell>
          <cell r="R325">
            <v>0</v>
          </cell>
          <cell r="X325">
            <v>1</v>
          </cell>
        </row>
        <row r="326">
          <cell r="C326" t="str">
            <v>PELAYA</v>
          </cell>
          <cell r="D326" t="str">
            <v>CESAR</v>
          </cell>
          <cell r="E326">
            <v>10558</v>
          </cell>
          <cell r="F326">
            <v>497</v>
          </cell>
          <cell r="G326" t="str">
            <v>F</v>
          </cell>
          <cell r="R326">
            <v>0</v>
          </cell>
          <cell r="X326">
            <v>1</v>
          </cell>
        </row>
        <row r="327">
          <cell r="C327" t="str">
            <v>VILLARRICA</v>
          </cell>
          <cell r="D327" t="str">
            <v>CAUCA</v>
          </cell>
          <cell r="E327">
            <v>10462</v>
          </cell>
          <cell r="F327">
            <v>476</v>
          </cell>
          <cell r="G327" t="str">
            <v>E</v>
          </cell>
          <cell r="R327">
            <v>0</v>
          </cell>
          <cell r="X327">
            <v>1</v>
          </cell>
        </row>
        <row r="328">
          <cell r="C328" t="str">
            <v>GALERAS</v>
          </cell>
          <cell r="D328" t="str">
            <v>SUCRE</v>
          </cell>
          <cell r="E328">
            <v>10436</v>
          </cell>
          <cell r="F328">
            <v>453</v>
          </cell>
          <cell r="G328" t="str">
            <v>C</v>
          </cell>
          <cell r="R328">
            <v>0</v>
          </cell>
        </row>
        <row r="329">
          <cell r="C329" t="str">
            <v>VITERBO</v>
          </cell>
          <cell r="D329" t="str">
            <v>CALDAS</v>
          </cell>
          <cell r="E329">
            <v>10355</v>
          </cell>
          <cell r="F329">
            <v>534</v>
          </cell>
          <cell r="G329" t="str">
            <v>F</v>
          </cell>
          <cell r="R329">
            <v>0</v>
          </cell>
          <cell r="X329">
            <v>1</v>
          </cell>
        </row>
        <row r="330">
          <cell r="C330" t="str">
            <v>TADO</v>
          </cell>
          <cell r="D330" t="str">
            <v>CHOCO</v>
          </cell>
          <cell r="E330">
            <v>10300</v>
          </cell>
          <cell r="F330">
            <v>530</v>
          </cell>
          <cell r="G330" t="str">
            <v>D</v>
          </cell>
          <cell r="R330">
            <v>0</v>
          </cell>
        </row>
        <row r="331">
          <cell r="C331" t="str">
            <v>CHIVOLO</v>
          </cell>
          <cell r="D331" t="str">
            <v>MAGDALENA</v>
          </cell>
          <cell r="E331">
            <v>10263</v>
          </cell>
          <cell r="F331">
            <v>104</v>
          </cell>
          <cell r="G331" t="str">
            <v>B</v>
          </cell>
          <cell r="R331">
            <v>0</v>
          </cell>
        </row>
        <row r="332">
          <cell r="C332" t="str">
            <v>TAURAMENA</v>
          </cell>
          <cell r="D332" t="str">
            <v>CASANARE</v>
          </cell>
          <cell r="E332">
            <v>10197</v>
          </cell>
          <cell r="F332">
            <v>618</v>
          </cell>
          <cell r="G332" t="str">
            <v>F</v>
          </cell>
          <cell r="R332">
            <v>0</v>
          </cell>
          <cell r="X332">
            <v>1</v>
          </cell>
        </row>
        <row r="333">
          <cell r="C333" t="str">
            <v>LA APARTADA</v>
          </cell>
          <cell r="D333" t="str">
            <v>CORDOBA</v>
          </cell>
          <cell r="E333">
            <v>10162</v>
          </cell>
          <cell r="F333">
            <v>287</v>
          </cell>
          <cell r="G333" t="str">
            <v>B</v>
          </cell>
          <cell r="R333">
            <v>0</v>
          </cell>
          <cell r="X333">
            <v>1</v>
          </cell>
        </row>
        <row r="334">
          <cell r="C334" t="str">
            <v>MONTERREY</v>
          </cell>
          <cell r="D334" t="str">
            <v>CASANARE</v>
          </cell>
          <cell r="E334">
            <v>10011</v>
          </cell>
          <cell r="F334">
            <v>634</v>
          </cell>
          <cell r="G334" t="str">
            <v>F</v>
          </cell>
          <cell r="R334">
            <v>1</v>
          </cell>
          <cell r="X334">
            <v>1</v>
          </cell>
        </row>
        <row r="335">
          <cell r="C335" t="str">
            <v>SAN AGUSTIN</v>
          </cell>
          <cell r="D335" t="str">
            <v>HUILA</v>
          </cell>
          <cell r="E335">
            <v>9957</v>
          </cell>
          <cell r="F335">
            <v>918</v>
          </cell>
          <cell r="G335" t="str">
            <v>F</v>
          </cell>
          <cell r="R335">
            <v>0</v>
          </cell>
          <cell r="X335">
            <v>1</v>
          </cell>
        </row>
        <row r="336">
          <cell r="C336" t="str">
            <v>PUERTO CARREÑO</v>
          </cell>
          <cell r="D336" t="str">
            <v>VICHADA</v>
          </cell>
          <cell r="E336">
            <v>9926</v>
          </cell>
          <cell r="F336">
            <v>432</v>
          </cell>
          <cell r="G336" t="str">
            <v>G</v>
          </cell>
          <cell r="R336">
            <v>0</v>
          </cell>
          <cell r="X336">
            <v>1</v>
          </cell>
        </row>
        <row r="337">
          <cell r="C337" t="str">
            <v>MONIQUIRA</v>
          </cell>
          <cell r="D337" t="str">
            <v>BOYACA</v>
          </cell>
          <cell r="E337">
            <v>9844</v>
          </cell>
          <cell r="F337">
            <v>797</v>
          </cell>
          <cell r="G337" t="str">
            <v>G</v>
          </cell>
          <cell r="R337">
            <v>1</v>
          </cell>
          <cell r="X337">
            <v>1</v>
          </cell>
        </row>
        <row r="338">
          <cell r="C338" t="str">
            <v>AGUADAS</v>
          </cell>
          <cell r="D338" t="str">
            <v>CALDAS</v>
          </cell>
          <cell r="E338">
            <v>9835</v>
          </cell>
          <cell r="F338">
            <v>577</v>
          </cell>
          <cell r="G338" t="str">
            <v>G</v>
          </cell>
          <cell r="R338">
            <v>1</v>
          </cell>
          <cell r="X338">
            <v>1</v>
          </cell>
        </row>
        <row r="339">
          <cell r="C339" t="str">
            <v>ZAMBRANO</v>
          </cell>
          <cell r="D339" t="str">
            <v>BOLIVAR</v>
          </cell>
          <cell r="E339">
            <v>9810</v>
          </cell>
          <cell r="F339">
            <v>455</v>
          </cell>
          <cell r="G339" t="str">
            <v>B</v>
          </cell>
          <cell r="R339">
            <v>0</v>
          </cell>
          <cell r="X339">
            <v>1</v>
          </cell>
        </row>
        <row r="340">
          <cell r="C340" t="str">
            <v>EL ROSAL</v>
          </cell>
          <cell r="D340" t="str">
            <v>CUNDINAMARCA</v>
          </cell>
          <cell r="E340">
            <v>9736</v>
          </cell>
          <cell r="F340">
            <v>299</v>
          </cell>
          <cell r="G340" t="str">
            <v>F</v>
          </cell>
          <cell r="R340">
            <v>0</v>
          </cell>
          <cell r="X340">
            <v>1</v>
          </cell>
        </row>
        <row r="341">
          <cell r="C341" t="str">
            <v>OBANDO</v>
          </cell>
          <cell r="D341" t="str">
            <v>VALLE</v>
          </cell>
          <cell r="E341">
            <v>9609</v>
          </cell>
          <cell r="F341">
            <v>557</v>
          </cell>
          <cell r="G341" t="str">
            <v>D</v>
          </cell>
          <cell r="R341">
            <v>0</v>
          </cell>
          <cell r="X341">
            <v>1</v>
          </cell>
        </row>
        <row r="342">
          <cell r="C342" t="str">
            <v>VELEZ</v>
          </cell>
          <cell r="D342" t="str">
            <v>SANTANDER</v>
          </cell>
          <cell r="E342">
            <v>9592</v>
          </cell>
          <cell r="F342">
            <v>825</v>
          </cell>
          <cell r="G342" t="str">
            <v>G</v>
          </cell>
          <cell r="R342">
            <v>1</v>
          </cell>
          <cell r="X342">
            <v>1</v>
          </cell>
        </row>
        <row r="343">
          <cell r="C343" t="str">
            <v>TOCANCIPA</v>
          </cell>
          <cell r="D343" t="str">
            <v>CUNDINAMARCA</v>
          </cell>
          <cell r="E343">
            <v>9590</v>
          </cell>
          <cell r="F343">
            <v>516</v>
          </cell>
          <cell r="G343" t="str">
            <v>G</v>
          </cell>
          <cell r="R343">
            <v>0</v>
          </cell>
          <cell r="X343">
            <v>4</v>
          </cell>
        </row>
        <row r="344">
          <cell r="C344" t="str">
            <v>BECERRIL</v>
          </cell>
          <cell r="D344" t="str">
            <v>CESAR</v>
          </cell>
          <cell r="E344">
            <v>9570</v>
          </cell>
          <cell r="F344">
            <v>213</v>
          </cell>
          <cell r="G344" t="str">
            <v>D</v>
          </cell>
          <cell r="R344">
            <v>0</v>
          </cell>
          <cell r="X344">
            <v>1</v>
          </cell>
        </row>
        <row r="345">
          <cell r="C345" t="str">
            <v>CHINACOTA</v>
          </cell>
          <cell r="D345" t="str">
            <v>NORTE DE SANTANDER</v>
          </cell>
          <cell r="E345">
            <v>9557</v>
          </cell>
          <cell r="F345">
            <v>917</v>
          </cell>
          <cell r="G345" t="str">
            <v>F</v>
          </cell>
          <cell r="R345">
            <v>0</v>
          </cell>
          <cell r="X345">
            <v>1</v>
          </cell>
        </row>
        <row r="346">
          <cell r="C346" t="str">
            <v>PONEDERA</v>
          </cell>
          <cell r="D346" t="str">
            <v>ATLANTICO</v>
          </cell>
          <cell r="E346">
            <v>9502</v>
          </cell>
          <cell r="F346">
            <v>202</v>
          </cell>
          <cell r="G346" t="str">
            <v>C</v>
          </cell>
          <cell r="R346">
            <v>0</v>
          </cell>
        </row>
        <row r="347">
          <cell r="C347" t="str">
            <v>MAJAGUAL</v>
          </cell>
          <cell r="D347" t="str">
            <v>SUCRE</v>
          </cell>
          <cell r="E347">
            <v>9452</v>
          </cell>
          <cell r="F347">
            <v>109</v>
          </cell>
          <cell r="G347" t="str">
            <v>B</v>
          </cell>
          <cell r="R347">
            <v>0</v>
          </cell>
        </row>
        <row r="348">
          <cell r="C348" t="str">
            <v>LA UNION</v>
          </cell>
          <cell r="D348" t="str">
            <v>ANTIOQUIA</v>
          </cell>
          <cell r="E348">
            <v>9431</v>
          </cell>
          <cell r="F348">
            <v>657</v>
          </cell>
          <cell r="G348" t="str">
            <v>E</v>
          </cell>
          <cell r="R348">
            <v>0</v>
          </cell>
          <cell r="X348">
            <v>1</v>
          </cell>
        </row>
        <row r="349">
          <cell r="C349" t="str">
            <v>ROVIRA</v>
          </cell>
          <cell r="D349" t="str">
            <v>TOLIMA</v>
          </cell>
          <cell r="E349">
            <v>9391</v>
          </cell>
          <cell r="F349">
            <v>442</v>
          </cell>
          <cell r="G349" t="str">
            <v>F</v>
          </cell>
          <cell r="R349">
            <v>0</v>
          </cell>
          <cell r="X349">
            <v>1</v>
          </cell>
        </row>
        <row r="350">
          <cell r="C350" t="str">
            <v>CARTAGENA DEL CHAIRA</v>
          </cell>
          <cell r="D350" t="str">
            <v>CAQUETA</v>
          </cell>
          <cell r="E350">
            <v>9365</v>
          </cell>
          <cell r="F350">
            <v>14</v>
          </cell>
          <cell r="G350" t="str">
            <v>F</v>
          </cell>
          <cell r="R350">
            <v>1</v>
          </cell>
          <cell r="X350">
            <v>1</v>
          </cell>
        </row>
        <row r="351">
          <cell r="C351" t="str">
            <v>LA VICTORIA</v>
          </cell>
          <cell r="D351" t="str">
            <v>VALLE</v>
          </cell>
          <cell r="E351">
            <v>9265</v>
          </cell>
          <cell r="F351">
            <v>456</v>
          </cell>
          <cell r="G351" t="str">
            <v>E</v>
          </cell>
          <cell r="R351">
            <v>0</v>
          </cell>
          <cell r="X351">
            <v>1</v>
          </cell>
        </row>
        <row r="352">
          <cell r="C352" t="str">
            <v>TORO</v>
          </cell>
          <cell r="D352" t="str">
            <v>VALLE</v>
          </cell>
          <cell r="E352">
            <v>9110</v>
          </cell>
          <cell r="F352">
            <v>407</v>
          </cell>
          <cell r="G352" t="str">
            <v>E</v>
          </cell>
          <cell r="R352">
            <v>0</v>
          </cell>
          <cell r="X352">
            <v>1</v>
          </cell>
        </row>
        <row r="353">
          <cell r="C353" t="str">
            <v>ALCALA</v>
          </cell>
          <cell r="D353" t="str">
            <v>VALLE</v>
          </cell>
          <cell r="E353">
            <v>9106</v>
          </cell>
          <cell r="F353">
            <v>366</v>
          </cell>
          <cell r="G353" t="str">
            <v>F</v>
          </cell>
          <cell r="R353">
            <v>0</v>
          </cell>
          <cell r="X353">
            <v>1</v>
          </cell>
        </row>
        <row r="354">
          <cell r="C354" t="str">
            <v>CHOCONTA</v>
          </cell>
          <cell r="D354" t="str">
            <v>CUNDINAMARCA</v>
          </cell>
          <cell r="E354">
            <v>8994</v>
          </cell>
          <cell r="F354">
            <v>604</v>
          </cell>
          <cell r="G354" t="str">
            <v>G</v>
          </cell>
          <cell r="R354">
            <v>0</v>
          </cell>
          <cell r="X354">
            <v>1</v>
          </cell>
        </row>
        <row r="355">
          <cell r="C355" t="str">
            <v>RIVERA</v>
          </cell>
          <cell r="D355" t="str">
            <v>HUILA</v>
          </cell>
          <cell r="E355">
            <v>8983</v>
          </cell>
          <cell r="F355">
            <v>437</v>
          </cell>
          <cell r="G355" t="str">
            <v>F</v>
          </cell>
          <cell r="R355">
            <v>1</v>
          </cell>
          <cell r="X355">
            <v>2</v>
          </cell>
        </row>
        <row r="356">
          <cell r="C356" t="str">
            <v>DARIEN</v>
          </cell>
          <cell r="D356" t="str">
            <v>VALLE</v>
          </cell>
          <cell r="E356">
            <v>8945</v>
          </cell>
          <cell r="F356">
            <v>624</v>
          </cell>
          <cell r="G356" t="str">
            <v>F</v>
          </cell>
          <cell r="R356">
            <v>1</v>
          </cell>
          <cell r="X356">
            <v>1</v>
          </cell>
        </row>
        <row r="357">
          <cell r="C357" t="str">
            <v>JUAN DE ACOSTA</v>
          </cell>
          <cell r="D357" t="str">
            <v>ATLANTICO</v>
          </cell>
          <cell r="E357">
            <v>8934</v>
          </cell>
          <cell r="F357">
            <v>655</v>
          </cell>
          <cell r="G357" t="str">
            <v>E</v>
          </cell>
          <cell r="R357">
            <v>0</v>
          </cell>
          <cell r="X357">
            <v>1</v>
          </cell>
        </row>
        <row r="358">
          <cell r="C358" t="str">
            <v>SUAN</v>
          </cell>
          <cell r="D358" t="str">
            <v>ATLANTICO</v>
          </cell>
          <cell r="E358">
            <v>8899</v>
          </cell>
          <cell r="F358">
            <v>122</v>
          </cell>
          <cell r="G358" t="str">
            <v>C</v>
          </cell>
          <cell r="R358">
            <v>0</v>
          </cell>
        </row>
        <row r="359">
          <cell r="C359" t="str">
            <v>HATO NUEVO</v>
          </cell>
          <cell r="D359" t="str">
            <v>LA GUAJIRA</v>
          </cell>
          <cell r="E359">
            <v>8880</v>
          </cell>
          <cell r="F359">
            <v>291</v>
          </cell>
          <cell r="G359" t="str">
            <v>D</v>
          </cell>
          <cell r="R359">
            <v>0</v>
          </cell>
          <cell r="X359">
            <v>1</v>
          </cell>
        </row>
        <row r="360">
          <cell r="C360" t="str">
            <v>MOMIL</v>
          </cell>
          <cell r="D360" t="str">
            <v>CORDOBA</v>
          </cell>
          <cell r="E360">
            <v>8775</v>
          </cell>
          <cell r="F360">
            <v>223</v>
          </cell>
          <cell r="G360" t="str">
            <v>D</v>
          </cell>
          <cell r="R360">
            <v>0</v>
          </cell>
          <cell r="X360">
            <v>1</v>
          </cell>
        </row>
        <row r="361">
          <cell r="C361" t="str">
            <v>MANZANAREZ</v>
          </cell>
          <cell r="D361" t="str">
            <v>CALDAS</v>
          </cell>
          <cell r="E361">
            <v>8745</v>
          </cell>
          <cell r="F361">
            <v>637</v>
          </cell>
          <cell r="G361" t="str">
            <v>G</v>
          </cell>
          <cell r="R361">
            <v>0</v>
          </cell>
          <cell r="X361">
            <v>1</v>
          </cell>
        </row>
        <row r="362">
          <cell r="C362" t="str">
            <v>GUAYABAL</v>
          </cell>
          <cell r="D362" t="str">
            <v>TOLIMA</v>
          </cell>
          <cell r="E362">
            <v>8745</v>
          </cell>
          <cell r="F362">
            <v>152</v>
          </cell>
          <cell r="G362" t="str">
            <v>F</v>
          </cell>
          <cell r="R362">
            <v>0</v>
          </cell>
        </row>
        <row r="363">
          <cell r="C363" t="str">
            <v>CONDOTO</v>
          </cell>
          <cell r="D363" t="str">
            <v>CHOCO</v>
          </cell>
          <cell r="E363">
            <v>8745</v>
          </cell>
          <cell r="F363">
            <v>0</v>
          </cell>
          <cell r="G363" t="str">
            <v>E</v>
          </cell>
          <cell r="R363">
            <v>0</v>
          </cell>
        </row>
        <row r="364">
          <cell r="C364" t="str">
            <v>SAN ANDRES SOTAVENTO</v>
          </cell>
          <cell r="D364" t="str">
            <v>CORDOBA</v>
          </cell>
          <cell r="E364">
            <v>8738</v>
          </cell>
          <cell r="F364">
            <v>157</v>
          </cell>
          <cell r="G364" t="str">
            <v>D</v>
          </cell>
          <cell r="R364">
            <v>1</v>
          </cell>
          <cell r="X364">
            <v>1</v>
          </cell>
        </row>
        <row r="365">
          <cell r="C365" t="str">
            <v>ASTREA</v>
          </cell>
          <cell r="D365" t="str">
            <v>CESAR</v>
          </cell>
          <cell r="E365">
            <v>8716</v>
          </cell>
          <cell r="F365">
            <v>245</v>
          </cell>
          <cell r="G365" t="str">
            <v>D</v>
          </cell>
          <cell r="R365">
            <v>0</v>
          </cell>
          <cell r="X365">
            <v>1</v>
          </cell>
        </row>
        <row r="366">
          <cell r="C366" t="str">
            <v>ALBANIA </v>
          </cell>
          <cell r="D366" t="str">
            <v>LA GUAJIRA</v>
          </cell>
          <cell r="E366">
            <v>8641</v>
          </cell>
          <cell r="F366">
            <v>277</v>
          </cell>
          <cell r="G366" t="str">
            <v>F</v>
          </cell>
          <cell r="R366">
            <v>0</v>
          </cell>
          <cell r="X366">
            <v>1</v>
          </cell>
        </row>
        <row r="367">
          <cell r="C367" t="str">
            <v>EL PAUJIL </v>
          </cell>
          <cell r="D367" t="str">
            <v>CAQUETA</v>
          </cell>
          <cell r="E367">
            <v>8637</v>
          </cell>
          <cell r="F367">
            <v>273</v>
          </cell>
          <cell r="G367" t="str">
            <v>F</v>
          </cell>
          <cell r="R367">
            <v>1</v>
          </cell>
          <cell r="X367">
            <v>1</v>
          </cell>
        </row>
        <row r="368">
          <cell r="C368" t="str">
            <v>FREDONIA</v>
          </cell>
          <cell r="D368" t="str">
            <v>ANTIOQUIA</v>
          </cell>
          <cell r="E368">
            <v>8576</v>
          </cell>
          <cell r="F368">
            <v>599</v>
          </cell>
          <cell r="G368" t="str">
            <v>F</v>
          </cell>
          <cell r="R368">
            <v>0</v>
          </cell>
          <cell r="X368">
            <v>1</v>
          </cell>
        </row>
        <row r="369">
          <cell r="C369" t="str">
            <v>CANDELARIA</v>
          </cell>
          <cell r="D369" t="str">
            <v>ATLANTICO</v>
          </cell>
          <cell r="E369">
            <v>8546</v>
          </cell>
          <cell r="F369">
            <v>79</v>
          </cell>
          <cell r="G369" t="str">
            <v>C</v>
          </cell>
          <cell r="R369">
            <v>0</v>
          </cell>
        </row>
        <row r="370">
          <cell r="C370" t="str">
            <v>EL PEÑOL</v>
          </cell>
          <cell r="D370" t="str">
            <v>ANTIOQUIA</v>
          </cell>
          <cell r="E370">
            <v>8276</v>
          </cell>
          <cell r="F370">
            <v>422</v>
          </cell>
          <cell r="G370" t="str">
            <v>F</v>
          </cell>
          <cell r="R370">
            <v>0</v>
          </cell>
        </row>
        <row r="371">
          <cell r="C371" t="str">
            <v>SALDAÑA</v>
          </cell>
          <cell r="D371" t="str">
            <v>TOLIMA</v>
          </cell>
          <cell r="E371">
            <v>8207</v>
          </cell>
          <cell r="F371">
            <v>492</v>
          </cell>
          <cell r="G371" t="str">
            <v>F</v>
          </cell>
          <cell r="R371">
            <v>1</v>
          </cell>
          <cell r="X371">
            <v>1</v>
          </cell>
        </row>
        <row r="372">
          <cell r="C372" t="str">
            <v>REMEDIOS</v>
          </cell>
          <cell r="D372" t="str">
            <v>ANTIOQUIA</v>
          </cell>
          <cell r="E372">
            <v>8191</v>
          </cell>
          <cell r="F372">
            <v>275</v>
          </cell>
          <cell r="G372" t="str">
            <v>B</v>
          </cell>
          <cell r="R372">
            <v>0</v>
          </cell>
        </row>
        <row r="373">
          <cell r="C373" t="str">
            <v>SAN BERNARDO DEL VIENTO</v>
          </cell>
          <cell r="D373" t="str">
            <v>CORDOBA</v>
          </cell>
          <cell r="E373">
            <v>8187</v>
          </cell>
          <cell r="F373">
            <v>301</v>
          </cell>
          <cell r="G373" t="str">
            <v>D</v>
          </cell>
          <cell r="R373">
            <v>0</v>
          </cell>
          <cell r="X373">
            <v>1</v>
          </cell>
        </row>
        <row r="374">
          <cell r="C374" t="str">
            <v>SOPLAVIENTO</v>
          </cell>
          <cell r="D374" t="str">
            <v>BOLIVAR</v>
          </cell>
          <cell r="E374">
            <v>8141</v>
          </cell>
          <cell r="F374">
            <v>160</v>
          </cell>
          <cell r="G374" t="str">
            <v>B</v>
          </cell>
          <cell r="R374">
            <v>0</v>
          </cell>
          <cell r="X374">
            <v>1</v>
          </cell>
        </row>
        <row r="375">
          <cell r="C375" t="str">
            <v>CONCORDIA</v>
          </cell>
          <cell r="D375" t="str">
            <v>ANTIOQUIA</v>
          </cell>
          <cell r="E375">
            <v>8136</v>
          </cell>
          <cell r="F375">
            <v>464</v>
          </cell>
          <cell r="G375" t="str">
            <v>F</v>
          </cell>
          <cell r="R375">
            <v>0</v>
          </cell>
        </row>
        <row r="376">
          <cell r="C376" t="str">
            <v>EL RETIRO</v>
          </cell>
          <cell r="D376" t="str">
            <v>ANTIOQUIA</v>
          </cell>
          <cell r="E376">
            <v>8105</v>
          </cell>
          <cell r="F376">
            <v>392</v>
          </cell>
          <cell r="G376" t="str">
            <v>F</v>
          </cell>
          <cell r="R376">
            <v>0</v>
          </cell>
          <cell r="X376">
            <v>1</v>
          </cell>
        </row>
        <row r="377">
          <cell r="C377" t="str">
            <v>PUERTO SANTANDER</v>
          </cell>
          <cell r="D377" t="str">
            <v>NORTE DE SANTANDER</v>
          </cell>
          <cell r="E377">
            <v>8026</v>
          </cell>
          <cell r="F377">
            <v>614</v>
          </cell>
          <cell r="G377" t="str">
            <v>B</v>
          </cell>
          <cell r="R377">
            <v>0</v>
          </cell>
        </row>
        <row r="378">
          <cell r="C378" t="str">
            <v>DAGUA </v>
          </cell>
          <cell r="D378" t="str">
            <v>VALLE</v>
          </cell>
          <cell r="E378">
            <v>8020</v>
          </cell>
          <cell r="F378">
            <v>621</v>
          </cell>
          <cell r="G378" t="str">
            <v>F</v>
          </cell>
          <cell r="R378">
            <v>1</v>
          </cell>
          <cell r="X378">
            <v>1</v>
          </cell>
        </row>
        <row r="379">
          <cell r="C379" t="str">
            <v>SARDINATA</v>
          </cell>
          <cell r="D379" t="str">
            <v>NORTE DE SANTANDER</v>
          </cell>
          <cell r="E379">
            <v>8018</v>
          </cell>
          <cell r="F379">
            <v>417</v>
          </cell>
          <cell r="G379" t="str">
            <v>F</v>
          </cell>
          <cell r="R379">
            <v>0</v>
          </cell>
        </row>
        <row r="380">
          <cell r="C380" t="str">
            <v>SIBUNDOY</v>
          </cell>
          <cell r="D380" t="str">
            <v>PUTUMAYO</v>
          </cell>
          <cell r="E380">
            <v>7962</v>
          </cell>
          <cell r="F380">
            <v>0</v>
          </cell>
          <cell r="G380" t="str">
            <v>F</v>
          </cell>
          <cell r="R380">
            <v>1</v>
          </cell>
          <cell r="X380">
            <v>1</v>
          </cell>
        </row>
        <row r="381">
          <cell r="C381" t="str">
            <v>SALGAR</v>
          </cell>
          <cell r="D381" t="str">
            <v>ANTIOQUIA</v>
          </cell>
          <cell r="E381">
            <v>7943</v>
          </cell>
          <cell r="F381">
            <v>281</v>
          </cell>
          <cell r="G381" t="str">
            <v>F</v>
          </cell>
          <cell r="R381">
            <v>0</v>
          </cell>
          <cell r="X381">
            <v>1</v>
          </cell>
        </row>
        <row r="382">
          <cell r="C382" t="str">
            <v>GINEBRA</v>
          </cell>
          <cell r="D382" t="str">
            <v>VALLE</v>
          </cell>
          <cell r="E382">
            <v>7915</v>
          </cell>
          <cell r="F382">
            <v>473</v>
          </cell>
          <cell r="G382" t="str">
            <v>F</v>
          </cell>
          <cell r="R382">
            <v>0</v>
          </cell>
          <cell r="X382">
            <v>1</v>
          </cell>
        </row>
        <row r="383">
          <cell r="C383" t="str">
            <v>RESTREPO</v>
          </cell>
          <cell r="D383" t="str">
            <v>VALLE</v>
          </cell>
          <cell r="E383">
            <v>7881</v>
          </cell>
          <cell r="F383">
            <v>721</v>
          </cell>
          <cell r="G383" t="str">
            <v>F</v>
          </cell>
          <cell r="R383">
            <v>2</v>
          </cell>
          <cell r="X383">
            <v>1</v>
          </cell>
        </row>
        <row r="384">
          <cell r="C384" t="str">
            <v>GAMARRA</v>
          </cell>
          <cell r="D384" t="str">
            <v>CESAR</v>
          </cell>
          <cell r="E384">
            <v>7834</v>
          </cell>
          <cell r="F384">
            <v>342</v>
          </cell>
          <cell r="G384" t="str">
            <v>E</v>
          </cell>
          <cell r="R384">
            <v>0</v>
          </cell>
          <cell r="X384">
            <v>2</v>
          </cell>
        </row>
        <row r="385">
          <cell r="C385" t="str">
            <v>VILLAGARZON</v>
          </cell>
          <cell r="D385" t="str">
            <v>PUTUMAYO</v>
          </cell>
          <cell r="E385">
            <v>7784</v>
          </cell>
          <cell r="F385">
            <v>0</v>
          </cell>
          <cell r="G385" t="str">
            <v>F</v>
          </cell>
          <cell r="R385">
            <v>0</v>
          </cell>
          <cell r="X385">
            <v>1</v>
          </cell>
        </row>
        <row r="386">
          <cell r="C386" t="str">
            <v>CISNEROS</v>
          </cell>
          <cell r="D386" t="str">
            <v>ANTIOQUIA</v>
          </cell>
          <cell r="E386">
            <v>7774</v>
          </cell>
          <cell r="F386">
            <v>577</v>
          </cell>
          <cell r="G386" t="str">
            <v>F</v>
          </cell>
          <cell r="R386">
            <v>0</v>
          </cell>
          <cell r="X386">
            <v>1</v>
          </cell>
        </row>
        <row r="387">
          <cell r="C387" t="str">
            <v>PENSILVANIA</v>
          </cell>
          <cell r="D387" t="str">
            <v>CALDAS</v>
          </cell>
          <cell r="E387">
            <v>7773</v>
          </cell>
          <cell r="F387">
            <v>516</v>
          </cell>
          <cell r="G387" t="str">
            <v>F</v>
          </cell>
          <cell r="R387">
            <v>0</v>
          </cell>
          <cell r="X387">
            <v>1</v>
          </cell>
        </row>
        <row r="388">
          <cell r="C388" t="str">
            <v>JERICO</v>
          </cell>
          <cell r="D388" t="str">
            <v>ANTIOQUIA</v>
          </cell>
          <cell r="E388">
            <v>7754</v>
          </cell>
          <cell r="F388">
            <v>471</v>
          </cell>
          <cell r="G388" t="str">
            <v>F</v>
          </cell>
          <cell r="R388">
            <v>0</v>
          </cell>
        </row>
        <row r="389">
          <cell r="C389" t="str">
            <v>USIACURI</v>
          </cell>
          <cell r="D389" t="str">
            <v>ATLANTICO</v>
          </cell>
          <cell r="E389">
            <v>7736</v>
          </cell>
          <cell r="F389">
            <v>112</v>
          </cell>
          <cell r="G389" t="str">
            <v>B</v>
          </cell>
          <cell r="R389">
            <v>0</v>
          </cell>
        </row>
        <row r="390">
          <cell r="C390" t="str">
            <v>SAN MARTIN</v>
          </cell>
          <cell r="D390" t="str">
            <v>CESAR</v>
          </cell>
          <cell r="E390">
            <v>7630</v>
          </cell>
          <cell r="F390">
            <v>376</v>
          </cell>
          <cell r="G390" t="str">
            <v>F</v>
          </cell>
          <cell r="R390">
            <v>1</v>
          </cell>
          <cell r="X390">
            <v>1</v>
          </cell>
        </row>
        <row r="391">
          <cell r="C391" t="str">
            <v>QUINCHÍA</v>
          </cell>
          <cell r="D391" t="str">
            <v>RISARALDA</v>
          </cell>
          <cell r="E391">
            <v>7560</v>
          </cell>
          <cell r="F391">
            <v>642</v>
          </cell>
          <cell r="G391" t="str">
            <v>F</v>
          </cell>
          <cell r="R391">
            <v>0</v>
          </cell>
          <cell r="X391">
            <v>1</v>
          </cell>
        </row>
        <row r="392">
          <cell r="C392" t="str">
            <v>FRONTINO</v>
          </cell>
          <cell r="D392" t="str">
            <v>ANTIOQUIA</v>
          </cell>
          <cell r="E392">
            <v>7546</v>
          </cell>
          <cell r="F392">
            <v>410</v>
          </cell>
          <cell r="G392" t="str">
            <v>F</v>
          </cell>
          <cell r="R392">
            <v>0</v>
          </cell>
          <cell r="X392">
            <v>1</v>
          </cell>
        </row>
        <row r="393">
          <cell r="C393" t="str">
            <v>ORTEGA</v>
          </cell>
          <cell r="D393" t="str">
            <v>TOLIMA</v>
          </cell>
          <cell r="E393">
            <v>7530</v>
          </cell>
          <cell r="F393">
            <v>318</v>
          </cell>
          <cell r="G393" t="str">
            <v>F</v>
          </cell>
          <cell r="R393">
            <v>1</v>
          </cell>
          <cell r="X393">
            <v>1</v>
          </cell>
        </row>
        <row r="394">
          <cell r="C394" t="str">
            <v>EL COLEGIO</v>
          </cell>
          <cell r="D394" t="str">
            <v>CUNDINAMARCA</v>
          </cell>
          <cell r="E394">
            <v>7477</v>
          </cell>
          <cell r="F394">
            <v>879</v>
          </cell>
          <cell r="G394" t="str">
            <v>F</v>
          </cell>
          <cell r="R394">
            <v>1</v>
          </cell>
          <cell r="X394">
            <v>2</v>
          </cell>
        </row>
        <row r="395">
          <cell r="C395" t="str">
            <v>URUMITA</v>
          </cell>
          <cell r="D395" t="str">
            <v>LA GUAJIRA</v>
          </cell>
          <cell r="E395">
            <v>7436</v>
          </cell>
          <cell r="F395">
            <v>208</v>
          </cell>
          <cell r="G395" t="str">
            <v>E</v>
          </cell>
          <cell r="R395">
            <v>0</v>
          </cell>
          <cell r="X395">
            <v>1</v>
          </cell>
        </row>
        <row r="396">
          <cell r="C396" t="str">
            <v>DABEIBA</v>
          </cell>
          <cell r="D396" t="str">
            <v>ANTIOQUIA</v>
          </cell>
          <cell r="E396">
            <v>7427</v>
          </cell>
          <cell r="F396">
            <v>473</v>
          </cell>
          <cell r="G396" t="str">
            <v>F</v>
          </cell>
          <cell r="R396">
            <v>0</v>
          </cell>
        </row>
        <row r="397">
          <cell r="C397" t="str">
            <v>YOTOCO</v>
          </cell>
          <cell r="D397" t="str">
            <v>VALLE</v>
          </cell>
          <cell r="E397">
            <v>7390</v>
          </cell>
          <cell r="F397">
            <v>313</v>
          </cell>
          <cell r="G397" t="str">
            <v>F</v>
          </cell>
          <cell r="R397">
            <v>0</v>
          </cell>
        </row>
        <row r="398">
          <cell r="C398" t="str">
            <v>TRUJILLO</v>
          </cell>
          <cell r="D398" t="str">
            <v>VALLE</v>
          </cell>
          <cell r="E398">
            <v>7375</v>
          </cell>
          <cell r="F398">
            <v>360</v>
          </cell>
          <cell r="G398" t="str">
            <v>E</v>
          </cell>
          <cell r="R398">
            <v>0</v>
          </cell>
          <cell r="X398">
            <v>1</v>
          </cell>
        </row>
        <row r="399">
          <cell r="C399" t="str">
            <v>MONTECRISTO</v>
          </cell>
          <cell r="D399" t="str">
            <v>BOLIVAR</v>
          </cell>
          <cell r="E399">
            <v>7331</v>
          </cell>
          <cell r="F399">
            <v>54</v>
          </cell>
          <cell r="G399" t="str">
            <v>A</v>
          </cell>
          <cell r="R399">
            <v>0</v>
          </cell>
        </row>
        <row r="400">
          <cell r="C400" t="str">
            <v>ALGARROBO</v>
          </cell>
          <cell r="D400" t="str">
            <v>MAGDALENA</v>
          </cell>
          <cell r="E400">
            <v>7319</v>
          </cell>
          <cell r="F400">
            <v>248</v>
          </cell>
          <cell r="G400" t="str">
            <v>D</v>
          </cell>
          <cell r="R400">
            <v>0</v>
          </cell>
        </row>
        <row r="401">
          <cell r="C401" t="str">
            <v>RIOSUCIO</v>
          </cell>
          <cell r="D401" t="str">
            <v>CHOCO</v>
          </cell>
          <cell r="E401">
            <v>7265</v>
          </cell>
          <cell r="F401">
            <v>0</v>
          </cell>
          <cell r="G401" t="str">
            <v>D</v>
          </cell>
          <cell r="R401">
            <v>0</v>
          </cell>
        </row>
        <row r="402">
          <cell r="C402" t="str">
            <v>BUENAVISTA</v>
          </cell>
          <cell r="D402" t="str">
            <v>SUCRE</v>
          </cell>
          <cell r="E402">
            <v>7246</v>
          </cell>
          <cell r="F402">
            <v>262</v>
          </cell>
          <cell r="G402" t="str">
            <v>C</v>
          </cell>
          <cell r="R402">
            <v>0</v>
          </cell>
        </row>
        <row r="403">
          <cell r="C403" t="str">
            <v>YONDO</v>
          </cell>
          <cell r="D403" t="str">
            <v>ANTIOQUIA</v>
          </cell>
          <cell r="E403">
            <v>7215</v>
          </cell>
          <cell r="F403">
            <v>303</v>
          </cell>
          <cell r="G403" t="str">
            <v>E</v>
          </cell>
          <cell r="R403">
            <v>0</v>
          </cell>
        </row>
        <row r="404">
          <cell r="C404" t="str">
            <v>PLANADAS</v>
          </cell>
          <cell r="D404" t="str">
            <v>TOLIMA</v>
          </cell>
          <cell r="E404">
            <v>7146</v>
          </cell>
          <cell r="F404">
            <v>429</v>
          </cell>
          <cell r="G404" t="str">
            <v>F</v>
          </cell>
          <cell r="R404">
            <v>0</v>
          </cell>
        </row>
        <row r="405">
          <cell r="C405" t="str">
            <v>CICUCO </v>
          </cell>
          <cell r="D405" t="str">
            <v>BOLIVAR</v>
          </cell>
          <cell r="E405">
            <v>7146</v>
          </cell>
          <cell r="F405">
            <v>253</v>
          </cell>
          <cell r="G405" t="str">
            <v>A</v>
          </cell>
          <cell r="R405">
            <v>0</v>
          </cell>
          <cell r="X405">
            <v>1</v>
          </cell>
        </row>
        <row r="406">
          <cell r="C406" t="str">
            <v>PUERTO LEGUIZAMO</v>
          </cell>
          <cell r="D406" t="str">
            <v>PUTUMAYO</v>
          </cell>
          <cell r="E406">
            <v>7142</v>
          </cell>
          <cell r="F406">
            <v>0</v>
          </cell>
          <cell r="G406" t="str">
            <v>F</v>
          </cell>
          <cell r="R406">
            <v>0</v>
          </cell>
          <cell r="X406">
            <v>2</v>
          </cell>
        </row>
        <row r="407">
          <cell r="C407" t="str">
            <v>GUAMAL</v>
          </cell>
          <cell r="D407" t="str">
            <v>MAGDALENA</v>
          </cell>
          <cell r="E407">
            <v>7126</v>
          </cell>
          <cell r="F407">
            <v>293</v>
          </cell>
          <cell r="G407" t="str">
            <v>B</v>
          </cell>
          <cell r="R407">
            <v>0</v>
          </cell>
          <cell r="X407">
            <v>1</v>
          </cell>
        </row>
        <row r="408">
          <cell r="C408" t="str">
            <v>SAN PELAYO</v>
          </cell>
          <cell r="D408" t="str">
            <v>CORDOBA</v>
          </cell>
          <cell r="E408">
            <v>6991</v>
          </cell>
          <cell r="F408">
            <v>241</v>
          </cell>
          <cell r="G408" t="str">
            <v>A</v>
          </cell>
          <cell r="R408">
            <v>0</v>
          </cell>
          <cell r="X408">
            <v>1</v>
          </cell>
        </row>
        <row r="409">
          <cell r="C409" t="str">
            <v>GUATEQUE</v>
          </cell>
          <cell r="D409" t="str">
            <v>BOYACA</v>
          </cell>
          <cell r="E409">
            <v>6985</v>
          </cell>
          <cell r="F409">
            <v>689</v>
          </cell>
          <cell r="G409" t="str">
            <v>G</v>
          </cell>
          <cell r="R409">
            <v>1</v>
          </cell>
          <cell r="X409">
            <v>1</v>
          </cell>
        </row>
        <row r="410">
          <cell r="C410" t="str">
            <v>JARDIN</v>
          </cell>
          <cell r="D410" t="str">
            <v>ANTIOQUIA</v>
          </cell>
          <cell r="E410">
            <v>6968</v>
          </cell>
          <cell r="F410">
            <v>535</v>
          </cell>
          <cell r="G410" t="str">
            <v>F</v>
          </cell>
          <cell r="R410">
            <v>0</v>
          </cell>
          <cell r="X410">
            <v>1</v>
          </cell>
        </row>
        <row r="411">
          <cell r="C411" t="str">
            <v>TITIRIBI</v>
          </cell>
          <cell r="D411" t="str">
            <v>ANTIOQUIA</v>
          </cell>
          <cell r="E411">
            <v>6941</v>
          </cell>
          <cell r="F411">
            <v>168</v>
          </cell>
          <cell r="G411" t="str">
            <v>F</v>
          </cell>
          <cell r="R411">
            <v>0</v>
          </cell>
        </row>
        <row r="412">
          <cell r="C412" t="str">
            <v>EL CHARCO</v>
          </cell>
          <cell r="D412" t="str">
            <v>NARIÑO</v>
          </cell>
          <cell r="E412">
            <v>6917</v>
          </cell>
          <cell r="F412">
            <v>3</v>
          </cell>
          <cell r="G412" t="str">
            <v>E</v>
          </cell>
          <cell r="R412">
            <v>0</v>
          </cell>
          <cell r="X412">
            <v>1</v>
          </cell>
        </row>
        <row r="413">
          <cell r="C413" t="str">
            <v>SAN VICENTE</v>
          </cell>
          <cell r="D413" t="str">
            <v>ANTIOQUIA</v>
          </cell>
          <cell r="E413">
            <v>6853</v>
          </cell>
          <cell r="F413">
            <v>287</v>
          </cell>
          <cell r="G413" t="str">
            <v>E</v>
          </cell>
          <cell r="R413">
            <v>0</v>
          </cell>
        </row>
        <row r="414">
          <cell r="C414" t="str">
            <v>SANTA ROSA DE VITERBO</v>
          </cell>
          <cell r="D414" t="str">
            <v>BOYACA</v>
          </cell>
          <cell r="E414">
            <v>6847</v>
          </cell>
          <cell r="F414">
            <v>512</v>
          </cell>
          <cell r="G414" t="str">
            <v>G</v>
          </cell>
          <cell r="R414">
            <v>2</v>
          </cell>
          <cell r="X414">
            <v>1</v>
          </cell>
        </row>
        <row r="415">
          <cell r="C415" t="str">
            <v>BUENAVISTA</v>
          </cell>
          <cell r="D415" t="str">
            <v>CORDOBA</v>
          </cell>
          <cell r="E415">
            <v>6846</v>
          </cell>
          <cell r="F415">
            <v>248</v>
          </cell>
          <cell r="G415" t="str">
            <v>C</v>
          </cell>
          <cell r="R415">
            <v>0</v>
          </cell>
          <cell r="X415">
            <v>1</v>
          </cell>
        </row>
        <row r="416">
          <cell r="C416" t="str">
            <v>MANI</v>
          </cell>
          <cell r="D416" t="str">
            <v>CASANARE</v>
          </cell>
          <cell r="E416">
            <v>6838</v>
          </cell>
          <cell r="F416">
            <v>408</v>
          </cell>
          <cell r="G416" t="str">
            <v>F</v>
          </cell>
          <cell r="R416">
            <v>0</v>
          </cell>
          <cell r="X416">
            <v>1</v>
          </cell>
        </row>
        <row r="417">
          <cell r="C417" t="str">
            <v>BOJACA</v>
          </cell>
          <cell r="D417" t="str">
            <v>CUNDINAMARCA</v>
          </cell>
          <cell r="E417">
            <v>6761</v>
          </cell>
          <cell r="F417">
            <v>443</v>
          </cell>
          <cell r="G417" t="str">
            <v>E</v>
          </cell>
          <cell r="R417">
            <v>0</v>
          </cell>
          <cell r="X417">
            <v>1</v>
          </cell>
        </row>
        <row r="418">
          <cell r="C418" t="str">
            <v>SIMITI</v>
          </cell>
          <cell r="D418" t="str">
            <v>BOLIVAR</v>
          </cell>
          <cell r="E418">
            <v>6737</v>
          </cell>
          <cell r="F418">
            <v>280</v>
          </cell>
          <cell r="G418" t="str">
            <v>F</v>
          </cell>
          <cell r="R418">
            <v>0</v>
          </cell>
          <cell r="X418">
            <v>1</v>
          </cell>
        </row>
        <row r="419">
          <cell r="C419" t="str">
            <v>TIMANA</v>
          </cell>
          <cell r="D419" t="str">
            <v>HUILA</v>
          </cell>
          <cell r="E419">
            <v>6677</v>
          </cell>
          <cell r="F419">
            <v>571</v>
          </cell>
          <cell r="G419" t="str">
            <v>F</v>
          </cell>
          <cell r="R419">
            <v>1</v>
          </cell>
          <cell r="X419">
            <v>1</v>
          </cell>
        </row>
        <row r="420">
          <cell r="C420" t="str">
            <v>YAGUARA</v>
          </cell>
          <cell r="D420" t="str">
            <v>HUILA</v>
          </cell>
          <cell r="E420">
            <v>6627</v>
          </cell>
          <cell r="F420">
            <v>355</v>
          </cell>
          <cell r="G420" t="str">
            <v>F</v>
          </cell>
          <cell r="R420">
            <v>0</v>
          </cell>
          <cell r="X420">
            <v>1</v>
          </cell>
        </row>
        <row r="421">
          <cell r="C421" t="str">
            <v>SAN JUAN DE URABA</v>
          </cell>
          <cell r="D421" t="str">
            <v>ANTIOQUIA</v>
          </cell>
          <cell r="E421">
            <v>6615</v>
          </cell>
          <cell r="F421">
            <v>60</v>
          </cell>
          <cell r="G421" t="str">
            <v>D</v>
          </cell>
          <cell r="R421">
            <v>0</v>
          </cell>
          <cell r="X421">
            <v>1</v>
          </cell>
        </row>
        <row r="422">
          <cell r="C422" t="str">
            <v>ARANZAZU</v>
          </cell>
          <cell r="D422" t="str">
            <v>CALDAS</v>
          </cell>
          <cell r="E422">
            <v>6599</v>
          </cell>
          <cell r="F422">
            <v>443</v>
          </cell>
          <cell r="G422" t="str">
            <v>F</v>
          </cell>
          <cell r="R422">
            <v>0</v>
          </cell>
          <cell r="X422">
            <v>1</v>
          </cell>
        </row>
        <row r="423">
          <cell r="C423" t="str">
            <v>SANTUARIO</v>
          </cell>
          <cell r="D423" t="str">
            <v>RISARALDA</v>
          </cell>
          <cell r="E423">
            <v>6587</v>
          </cell>
          <cell r="F423">
            <v>428</v>
          </cell>
          <cell r="G423" t="str">
            <v>E</v>
          </cell>
          <cell r="R423">
            <v>0</v>
          </cell>
          <cell r="X423">
            <v>1</v>
          </cell>
        </row>
        <row r="424">
          <cell r="C424" t="str">
            <v>PUERTO NARE</v>
          </cell>
          <cell r="D424" t="str">
            <v>ANTIOQUIA</v>
          </cell>
          <cell r="E424">
            <v>6567</v>
          </cell>
          <cell r="F424">
            <v>368</v>
          </cell>
          <cell r="G424" t="str">
            <v>E</v>
          </cell>
          <cell r="R424">
            <v>0</v>
          </cell>
          <cell r="X424">
            <v>1</v>
          </cell>
        </row>
        <row r="425">
          <cell r="C425" t="str">
            <v>ALBAN</v>
          </cell>
          <cell r="D425" t="str">
            <v>NARIÑO</v>
          </cell>
          <cell r="E425">
            <v>6475</v>
          </cell>
          <cell r="F425">
            <v>126</v>
          </cell>
          <cell r="G425" t="str">
            <v>D</v>
          </cell>
          <cell r="R425">
            <v>0</v>
          </cell>
        </row>
        <row r="426">
          <cell r="C426" t="str">
            <v>TAMESIS</v>
          </cell>
          <cell r="D426" t="str">
            <v>ANTIOQUIA</v>
          </cell>
          <cell r="E426">
            <v>6462</v>
          </cell>
          <cell r="F426">
            <v>303</v>
          </cell>
          <cell r="G426" t="str">
            <v>F</v>
          </cell>
          <cell r="R426">
            <v>0</v>
          </cell>
          <cell r="X426">
            <v>1</v>
          </cell>
        </row>
        <row r="427">
          <cell r="C427" t="str">
            <v>VEGACHI</v>
          </cell>
          <cell r="D427" t="str">
            <v>ANTIOQUIA</v>
          </cell>
          <cell r="E427">
            <v>6401</v>
          </cell>
          <cell r="F427">
            <v>375</v>
          </cell>
          <cell r="G427" t="str">
            <v>D</v>
          </cell>
          <cell r="R427">
            <v>0</v>
          </cell>
        </row>
        <row r="428">
          <cell r="C428" t="str">
            <v>SUESCA</v>
          </cell>
          <cell r="D428" t="str">
            <v>CUNDINAMARCA</v>
          </cell>
          <cell r="E428">
            <v>6368</v>
          </cell>
          <cell r="F428">
            <v>191</v>
          </cell>
          <cell r="G428" t="str">
            <v>F</v>
          </cell>
          <cell r="R428">
            <v>0</v>
          </cell>
          <cell r="X428">
            <v>2</v>
          </cell>
        </row>
        <row r="429">
          <cell r="C429" t="str">
            <v>RIOVIEJO</v>
          </cell>
          <cell r="D429" t="str">
            <v>BOLIVAR</v>
          </cell>
          <cell r="E429">
            <v>6355</v>
          </cell>
          <cell r="F429">
            <v>114</v>
          </cell>
          <cell r="G429" t="str">
            <v>E</v>
          </cell>
          <cell r="R429">
            <v>0</v>
          </cell>
        </row>
        <row r="430">
          <cell r="C430" t="str">
            <v>PUERTO GAITAN</v>
          </cell>
          <cell r="D430" t="str">
            <v>META</v>
          </cell>
          <cell r="E430">
            <v>6350</v>
          </cell>
          <cell r="F430">
            <v>370</v>
          </cell>
          <cell r="G430" t="str">
            <v>F</v>
          </cell>
          <cell r="R430">
            <v>0</v>
          </cell>
          <cell r="X430">
            <v>1</v>
          </cell>
        </row>
        <row r="431">
          <cell r="C431" t="str">
            <v>SAN RAFAEL</v>
          </cell>
          <cell r="D431" t="str">
            <v>ANTIOQUIA</v>
          </cell>
          <cell r="E431">
            <v>6347</v>
          </cell>
          <cell r="F431">
            <v>298</v>
          </cell>
          <cell r="G431" t="str">
            <v>E</v>
          </cell>
          <cell r="R431">
            <v>0</v>
          </cell>
          <cell r="X431">
            <v>1</v>
          </cell>
        </row>
        <row r="432">
          <cell r="C432" t="str">
            <v>VISTAHERMOSA</v>
          </cell>
          <cell r="D432" t="str">
            <v>META</v>
          </cell>
          <cell r="E432">
            <v>6340</v>
          </cell>
          <cell r="F432">
            <v>444</v>
          </cell>
          <cell r="G432" t="str">
            <v>F</v>
          </cell>
          <cell r="R432">
            <v>0</v>
          </cell>
          <cell r="X432">
            <v>1</v>
          </cell>
        </row>
        <row r="433">
          <cell r="C433" t="str">
            <v>CACERES</v>
          </cell>
          <cell r="D433" t="str">
            <v>ANTIOQUIA</v>
          </cell>
          <cell r="E433">
            <v>6338</v>
          </cell>
          <cell r="F433">
            <v>223</v>
          </cell>
          <cell r="G433" t="str">
            <v>E</v>
          </cell>
          <cell r="R433">
            <v>0</v>
          </cell>
        </row>
        <row r="434">
          <cell r="C434" t="str">
            <v>FILANDIA</v>
          </cell>
          <cell r="D434" t="str">
            <v>QUINDIO</v>
          </cell>
          <cell r="E434">
            <v>6313</v>
          </cell>
          <cell r="F434">
            <v>472</v>
          </cell>
          <cell r="G434" t="str">
            <v>E</v>
          </cell>
          <cell r="R434">
            <v>0</v>
          </cell>
          <cell r="X434">
            <v>1</v>
          </cell>
        </row>
        <row r="435">
          <cell r="C435" t="str">
            <v>CHACHAGUI</v>
          </cell>
          <cell r="D435" t="str">
            <v>NARIÑO</v>
          </cell>
          <cell r="E435">
            <v>6312</v>
          </cell>
          <cell r="F435">
            <v>260</v>
          </cell>
          <cell r="G435" t="str">
            <v>D</v>
          </cell>
          <cell r="R435">
            <v>0</v>
          </cell>
          <cell r="X435">
            <v>1</v>
          </cell>
        </row>
        <row r="436">
          <cell r="C436" t="str">
            <v>PIJIÑO </v>
          </cell>
          <cell r="D436" t="str">
            <v>MAGDALENA</v>
          </cell>
          <cell r="E436">
            <v>6308</v>
          </cell>
          <cell r="F436">
            <v>72</v>
          </cell>
          <cell r="G436" t="str">
            <v>A</v>
          </cell>
          <cell r="R436">
            <v>0</v>
          </cell>
        </row>
        <row r="437">
          <cell r="C437" t="str">
            <v>PIE DE PATO</v>
          </cell>
          <cell r="D437" t="str">
            <v>CHOCO</v>
          </cell>
          <cell r="E437">
            <v>6300</v>
          </cell>
          <cell r="F437">
            <v>0</v>
          </cell>
          <cell r="G437" t="str">
            <v>A</v>
          </cell>
          <cell r="R437">
            <v>0</v>
          </cell>
        </row>
        <row r="438">
          <cell r="C438" t="str">
            <v>NUEVA GRANADA </v>
          </cell>
          <cell r="D438" t="str">
            <v>MAGDALENA</v>
          </cell>
          <cell r="E438">
            <v>6298</v>
          </cell>
          <cell r="F438">
            <v>149</v>
          </cell>
          <cell r="G438" t="str">
            <v>B</v>
          </cell>
          <cell r="R438">
            <v>0</v>
          </cell>
          <cell r="X438">
            <v>1</v>
          </cell>
        </row>
        <row r="439">
          <cell r="C439" t="str">
            <v>LA CRUZ</v>
          </cell>
          <cell r="D439" t="str">
            <v>NARIÑO</v>
          </cell>
          <cell r="E439">
            <v>6271</v>
          </cell>
          <cell r="F439">
            <v>411</v>
          </cell>
          <cell r="G439" t="str">
            <v>F</v>
          </cell>
          <cell r="R439">
            <v>0</v>
          </cell>
          <cell r="X439">
            <v>1</v>
          </cell>
        </row>
        <row r="440">
          <cell r="C440" t="str">
            <v>CAQUEZA</v>
          </cell>
          <cell r="D440" t="str">
            <v>CUNDINAMARCA</v>
          </cell>
          <cell r="E440">
            <v>6260</v>
          </cell>
          <cell r="F440">
            <v>538</v>
          </cell>
          <cell r="G440" t="str">
            <v>G</v>
          </cell>
          <cell r="R440">
            <v>0</v>
          </cell>
          <cell r="X440">
            <v>2</v>
          </cell>
        </row>
        <row r="441">
          <cell r="C441" t="str">
            <v>CARMEN DE APICALA</v>
          </cell>
          <cell r="D441" t="str">
            <v>TOLIMA</v>
          </cell>
          <cell r="E441">
            <v>6248</v>
          </cell>
          <cell r="F441">
            <v>485</v>
          </cell>
          <cell r="G441" t="str">
            <v>E</v>
          </cell>
          <cell r="R441">
            <v>0</v>
          </cell>
          <cell r="X441">
            <v>1</v>
          </cell>
        </row>
        <row r="442">
          <cell r="C442" t="str">
            <v>PACORA</v>
          </cell>
          <cell r="D442" t="str">
            <v>CALDAS</v>
          </cell>
          <cell r="E442">
            <v>6243</v>
          </cell>
          <cell r="F442">
            <v>391</v>
          </cell>
          <cell r="G442" t="str">
            <v>F</v>
          </cell>
          <cell r="R442">
            <v>0</v>
          </cell>
          <cell r="X442">
            <v>1</v>
          </cell>
        </row>
        <row r="443">
          <cell r="C443" t="str">
            <v>BALBOA</v>
          </cell>
          <cell r="D443" t="str">
            <v>CAUCA</v>
          </cell>
          <cell r="E443">
            <v>6232</v>
          </cell>
          <cell r="F443">
            <v>612</v>
          </cell>
          <cell r="G443" t="str">
            <v>E</v>
          </cell>
          <cell r="R443">
            <v>0</v>
          </cell>
          <cell r="X443">
            <v>1</v>
          </cell>
        </row>
        <row r="444">
          <cell r="C444" t="str">
            <v>ABEJORRAL</v>
          </cell>
          <cell r="D444" t="str">
            <v>ANTIOQUIA</v>
          </cell>
          <cell r="E444">
            <v>6217</v>
          </cell>
          <cell r="F444">
            <v>229</v>
          </cell>
          <cell r="G444" t="str">
            <v>F</v>
          </cell>
          <cell r="R444">
            <v>0</v>
          </cell>
          <cell r="X444">
            <v>1</v>
          </cell>
        </row>
        <row r="445">
          <cell r="C445" t="str">
            <v>VENECIA</v>
          </cell>
          <cell r="D445" t="str">
            <v>ANTIOQUIA</v>
          </cell>
          <cell r="E445">
            <v>6212</v>
          </cell>
          <cell r="F445">
            <v>374</v>
          </cell>
          <cell r="G445" t="str">
            <v>E</v>
          </cell>
          <cell r="R445">
            <v>0</v>
          </cell>
          <cell r="X445">
            <v>1</v>
          </cell>
        </row>
        <row r="446">
          <cell r="C446" t="str">
            <v>BETULIA</v>
          </cell>
          <cell r="D446" t="str">
            <v>SUCRE</v>
          </cell>
          <cell r="E446">
            <v>6178</v>
          </cell>
          <cell r="F446">
            <v>136</v>
          </cell>
          <cell r="G446" t="str">
            <v>E</v>
          </cell>
          <cell r="R446">
            <v>0</v>
          </cell>
        </row>
        <row r="447">
          <cell r="C447" t="str">
            <v>PURISIMA</v>
          </cell>
          <cell r="D447" t="str">
            <v>CORDOBA</v>
          </cell>
          <cell r="E447">
            <v>6142</v>
          </cell>
          <cell r="F447">
            <v>120</v>
          </cell>
          <cell r="G447" t="str">
            <v>D</v>
          </cell>
          <cell r="R447">
            <v>0</v>
          </cell>
          <cell r="X447">
            <v>1</v>
          </cell>
        </row>
        <row r="448">
          <cell r="C448" t="str">
            <v>SANTA BARBARA DE PINTO</v>
          </cell>
          <cell r="D448" t="str">
            <v>MAGDALENA</v>
          </cell>
          <cell r="E448">
            <v>6123</v>
          </cell>
          <cell r="F448">
            <v>48</v>
          </cell>
          <cell r="G448" t="str">
            <v>B</v>
          </cell>
          <cell r="R448">
            <v>0</v>
          </cell>
        </row>
        <row r="449">
          <cell r="C449" t="str">
            <v>SAN MARTIN DE LOBA</v>
          </cell>
          <cell r="D449" t="str">
            <v>BOLIVAR</v>
          </cell>
          <cell r="E449">
            <v>6092</v>
          </cell>
          <cell r="F449">
            <v>103</v>
          </cell>
          <cell r="G449" t="str">
            <v>C</v>
          </cell>
          <cell r="R449">
            <v>0</v>
          </cell>
        </row>
        <row r="450">
          <cell r="C450" t="str">
            <v>YOLOMBO</v>
          </cell>
          <cell r="D450" t="str">
            <v>ANTIOQUIA</v>
          </cell>
          <cell r="E450">
            <v>6068</v>
          </cell>
          <cell r="F450">
            <v>383</v>
          </cell>
          <cell r="G450" t="str">
            <v>F</v>
          </cell>
          <cell r="R450">
            <v>0</v>
          </cell>
          <cell r="X450">
            <v>1</v>
          </cell>
        </row>
        <row r="451">
          <cell r="C451" t="str">
            <v>RIONEGRO</v>
          </cell>
          <cell r="D451" t="str">
            <v>SANTANDER</v>
          </cell>
          <cell r="E451">
            <v>6037</v>
          </cell>
          <cell r="F451">
            <v>407</v>
          </cell>
          <cell r="G451" t="str">
            <v>F</v>
          </cell>
          <cell r="R451">
            <v>2</v>
          </cell>
          <cell r="X451">
            <v>1</v>
          </cell>
        </row>
        <row r="452">
          <cell r="C452" t="str">
            <v>TRINIDAD</v>
          </cell>
          <cell r="D452" t="str">
            <v>CASANARE</v>
          </cell>
          <cell r="E452">
            <v>6003</v>
          </cell>
          <cell r="F452">
            <v>263</v>
          </cell>
          <cell r="G452" t="str">
            <v>F</v>
          </cell>
          <cell r="R452">
            <v>0</v>
          </cell>
        </row>
        <row r="453">
          <cell r="C453" t="str">
            <v>LA PINTADA</v>
          </cell>
          <cell r="D453" t="str">
            <v>ANTIOQUIA</v>
          </cell>
          <cell r="E453">
            <v>5991</v>
          </cell>
          <cell r="F453">
            <v>301</v>
          </cell>
          <cell r="G453" t="str">
            <v>E</v>
          </cell>
          <cell r="R453">
            <v>0</v>
          </cell>
          <cell r="X453">
            <v>1</v>
          </cell>
        </row>
        <row r="454">
          <cell r="C454" t="str">
            <v>CONVENCION</v>
          </cell>
          <cell r="D454" t="str">
            <v>NORTE DE SANTANDER</v>
          </cell>
          <cell r="E454">
            <v>5975</v>
          </cell>
          <cell r="F454">
            <v>361</v>
          </cell>
          <cell r="G454" t="str">
            <v>E</v>
          </cell>
          <cell r="R454">
            <v>0</v>
          </cell>
          <cell r="X454">
            <v>1</v>
          </cell>
        </row>
        <row r="455">
          <cell r="C455" t="str">
            <v>ITUANGO</v>
          </cell>
          <cell r="D455" t="str">
            <v>ANTIOQUIA</v>
          </cell>
          <cell r="E455">
            <v>5970</v>
          </cell>
          <cell r="F455">
            <v>342</v>
          </cell>
          <cell r="G455" t="str">
            <v>F</v>
          </cell>
          <cell r="R455">
            <v>0</v>
          </cell>
          <cell r="X455">
            <v>1</v>
          </cell>
        </row>
        <row r="456">
          <cell r="C456" t="str">
            <v>SOPETRAN</v>
          </cell>
          <cell r="D456" t="str">
            <v>ANTIOQUIA</v>
          </cell>
          <cell r="E456">
            <v>5961</v>
          </cell>
          <cell r="F456">
            <v>276</v>
          </cell>
          <cell r="G456" t="str">
            <v>F</v>
          </cell>
          <cell r="R456">
            <v>0</v>
          </cell>
        </row>
        <row r="457">
          <cell r="C457" t="str">
            <v>TUBARA</v>
          </cell>
          <cell r="D457" t="str">
            <v>ATLANTICO</v>
          </cell>
          <cell r="E457">
            <v>5935</v>
          </cell>
          <cell r="F457">
            <v>203</v>
          </cell>
          <cell r="G457" t="str">
            <v>B</v>
          </cell>
          <cell r="R457">
            <v>0</v>
          </cell>
        </row>
        <row r="458">
          <cell r="C458" t="str">
            <v>CHARALA</v>
          </cell>
          <cell r="D458" t="str">
            <v>SANTANDER</v>
          </cell>
          <cell r="E458">
            <v>5916</v>
          </cell>
          <cell r="F458">
            <v>751</v>
          </cell>
          <cell r="G458" t="str">
            <v>F</v>
          </cell>
          <cell r="R458">
            <v>0</v>
          </cell>
          <cell r="X458">
            <v>1</v>
          </cell>
        </row>
        <row r="459">
          <cell r="C459" t="str">
            <v>SAN ROQUE</v>
          </cell>
          <cell r="D459" t="str">
            <v>ANTIOQUIA</v>
          </cell>
          <cell r="E459">
            <v>5914</v>
          </cell>
          <cell r="F459">
            <v>261</v>
          </cell>
          <cell r="G459" t="str">
            <v>F</v>
          </cell>
          <cell r="R459">
            <v>0</v>
          </cell>
        </row>
        <row r="460">
          <cell r="C460" t="str">
            <v>GACHANCIPA</v>
          </cell>
          <cell r="D460" t="str">
            <v>CUNDINAMARCA</v>
          </cell>
          <cell r="E460">
            <v>5877</v>
          </cell>
          <cell r="F460">
            <v>322</v>
          </cell>
          <cell r="G460" t="str">
            <v>F</v>
          </cell>
          <cell r="R460">
            <v>0</v>
          </cell>
          <cell r="X460">
            <v>1</v>
          </cell>
        </row>
        <row r="461">
          <cell r="C461" t="str">
            <v>SAN PEDRO</v>
          </cell>
          <cell r="D461" t="str">
            <v>VALLE</v>
          </cell>
          <cell r="E461">
            <v>5866</v>
          </cell>
          <cell r="F461">
            <v>239</v>
          </cell>
          <cell r="G461" t="str">
            <v>F</v>
          </cell>
          <cell r="R461">
            <v>1</v>
          </cell>
        </row>
        <row r="462">
          <cell r="C462" t="str">
            <v>LA TOLA</v>
          </cell>
          <cell r="D462" t="str">
            <v>NARIÑO</v>
          </cell>
          <cell r="E462">
            <v>5844</v>
          </cell>
          <cell r="F462">
            <v>11</v>
          </cell>
          <cell r="G462" t="str">
            <v>A</v>
          </cell>
          <cell r="R462">
            <v>0</v>
          </cell>
        </row>
        <row r="463">
          <cell r="C463" t="str">
            <v>FUENTE DE ORO</v>
          </cell>
          <cell r="D463" t="str">
            <v>META</v>
          </cell>
          <cell r="E463">
            <v>5836</v>
          </cell>
          <cell r="F463">
            <v>266</v>
          </cell>
          <cell r="G463" t="str">
            <v>F</v>
          </cell>
          <cell r="R463">
            <v>0</v>
          </cell>
          <cell r="X463">
            <v>1</v>
          </cell>
        </row>
        <row r="464">
          <cell r="C464" t="str">
            <v>EL PIÑON </v>
          </cell>
          <cell r="D464" t="str">
            <v>MAGDALENA</v>
          </cell>
          <cell r="E464">
            <v>5801</v>
          </cell>
          <cell r="F464">
            <v>143</v>
          </cell>
          <cell r="G464" t="str">
            <v>D</v>
          </cell>
          <cell r="R464">
            <v>0</v>
          </cell>
        </row>
        <row r="465">
          <cell r="C465" t="str">
            <v>AQUITANIA</v>
          </cell>
          <cell r="D465" t="str">
            <v>BOYACA</v>
          </cell>
          <cell r="E465">
            <v>5744</v>
          </cell>
          <cell r="F465">
            <v>659</v>
          </cell>
          <cell r="G465" t="str">
            <v>E</v>
          </cell>
          <cell r="R465">
            <v>0</v>
          </cell>
          <cell r="X465">
            <v>1</v>
          </cell>
        </row>
        <row r="466">
          <cell r="C466" t="str">
            <v>SIMIJACA</v>
          </cell>
          <cell r="D466" t="str">
            <v>CUNDINAMARCA</v>
          </cell>
          <cell r="E466">
            <v>5737</v>
          </cell>
          <cell r="F466">
            <v>462</v>
          </cell>
          <cell r="G466" t="str">
            <v>F</v>
          </cell>
          <cell r="R466">
            <v>0</v>
          </cell>
          <cell r="X466">
            <v>1</v>
          </cell>
        </row>
        <row r="467">
          <cell r="C467" t="str">
            <v>AMBALEMA</v>
          </cell>
          <cell r="D467" t="str">
            <v>TOLIMA</v>
          </cell>
          <cell r="E467">
            <v>5730</v>
          </cell>
          <cell r="F467">
            <v>242</v>
          </cell>
          <cell r="G467" t="str">
            <v>F</v>
          </cell>
          <cell r="R467">
            <v>1</v>
          </cell>
          <cell r="X467">
            <v>1</v>
          </cell>
        </row>
        <row r="468">
          <cell r="C468" t="str">
            <v>GUARANDA</v>
          </cell>
          <cell r="D468" t="str">
            <v>SUCRE</v>
          </cell>
          <cell r="E468">
            <v>5693</v>
          </cell>
          <cell r="F468">
            <v>332</v>
          </cell>
          <cell r="G468" t="str">
            <v>B</v>
          </cell>
          <cell r="R468">
            <v>0</v>
          </cell>
        </row>
        <row r="469">
          <cell r="C469" t="str">
            <v>ZAPATOCA</v>
          </cell>
          <cell r="D469" t="str">
            <v>SANTANDER</v>
          </cell>
          <cell r="E469">
            <v>5684</v>
          </cell>
          <cell r="F469">
            <v>418</v>
          </cell>
          <cell r="G469" t="str">
            <v>F</v>
          </cell>
          <cell r="R469">
            <v>0</v>
          </cell>
          <cell r="X469">
            <v>1</v>
          </cell>
        </row>
        <row r="470">
          <cell r="C470" t="str">
            <v>LA GLORIA</v>
          </cell>
          <cell r="D470" t="str">
            <v>CESAR</v>
          </cell>
          <cell r="E470">
            <v>5666</v>
          </cell>
          <cell r="F470">
            <v>210</v>
          </cell>
          <cell r="G470" t="str">
            <v>E</v>
          </cell>
          <cell r="R470">
            <v>0</v>
          </cell>
          <cell r="X470">
            <v>1</v>
          </cell>
        </row>
        <row r="471">
          <cell r="C471" t="str">
            <v>TELLO</v>
          </cell>
          <cell r="D471" t="str">
            <v>HUILA</v>
          </cell>
          <cell r="E471">
            <v>5656</v>
          </cell>
          <cell r="F471">
            <v>174</v>
          </cell>
          <cell r="G471" t="str">
            <v>E</v>
          </cell>
          <cell r="R471">
            <v>0</v>
          </cell>
          <cell r="X471">
            <v>1</v>
          </cell>
        </row>
        <row r="472">
          <cell r="C472" t="str">
            <v>MARQUETALIA</v>
          </cell>
          <cell r="D472" t="str">
            <v>CALDAS</v>
          </cell>
          <cell r="E472">
            <v>5646</v>
          </cell>
          <cell r="F472">
            <v>400</v>
          </cell>
          <cell r="G472" t="str">
            <v>E</v>
          </cell>
          <cell r="R472">
            <v>0</v>
          </cell>
        </row>
        <row r="473">
          <cell r="C473" t="str">
            <v>PUERTO CONCORDIA</v>
          </cell>
          <cell r="D473" t="str">
            <v>META</v>
          </cell>
          <cell r="E473">
            <v>5640</v>
          </cell>
          <cell r="F473">
            <v>0</v>
          </cell>
          <cell r="G473" t="str">
            <v>D</v>
          </cell>
          <cell r="R473">
            <v>0</v>
          </cell>
        </row>
        <row r="474">
          <cell r="C474" t="str">
            <v>TENERIFE </v>
          </cell>
          <cell r="D474" t="str">
            <v>MAGDALENA</v>
          </cell>
          <cell r="E474">
            <v>5637</v>
          </cell>
          <cell r="F474">
            <v>147</v>
          </cell>
          <cell r="G474" t="str">
            <v>C</v>
          </cell>
          <cell r="R474">
            <v>0</v>
          </cell>
        </row>
        <row r="475">
          <cell r="C475" t="str">
            <v>PALESTINA</v>
          </cell>
          <cell r="D475" t="str">
            <v>CALDAS</v>
          </cell>
          <cell r="E475">
            <v>5628</v>
          </cell>
          <cell r="F475">
            <v>294</v>
          </cell>
          <cell r="G475" t="str">
            <v>F</v>
          </cell>
          <cell r="R475">
            <v>0</v>
          </cell>
          <cell r="X475">
            <v>1</v>
          </cell>
        </row>
        <row r="476">
          <cell r="C476" t="str">
            <v>RIO DE ORO</v>
          </cell>
          <cell r="D476" t="str">
            <v>CESAR</v>
          </cell>
          <cell r="E476">
            <v>5603</v>
          </cell>
          <cell r="F476">
            <v>329</v>
          </cell>
          <cell r="G476" t="str">
            <v>E</v>
          </cell>
          <cell r="R476">
            <v>0</v>
          </cell>
          <cell r="X476">
            <v>1</v>
          </cell>
        </row>
        <row r="477">
          <cell r="C477" t="str">
            <v>SILVANIA</v>
          </cell>
          <cell r="D477" t="str">
            <v>CUNDINAMARCA</v>
          </cell>
          <cell r="E477">
            <v>5574</v>
          </cell>
          <cell r="F477">
            <v>474</v>
          </cell>
          <cell r="G477" t="str">
            <v>F</v>
          </cell>
          <cell r="R477">
            <v>1</v>
          </cell>
          <cell r="X477">
            <v>1</v>
          </cell>
        </row>
        <row r="478">
          <cell r="C478" t="str">
            <v>BELEN DE LOS ANDAQUIES</v>
          </cell>
          <cell r="D478" t="str">
            <v>CAQUETA</v>
          </cell>
          <cell r="E478">
            <v>5518</v>
          </cell>
          <cell r="F478">
            <v>165</v>
          </cell>
          <cell r="G478" t="str">
            <v>F</v>
          </cell>
          <cell r="R478">
            <v>0</v>
          </cell>
        </row>
        <row r="479">
          <cell r="C479" t="str">
            <v>SUCRE</v>
          </cell>
          <cell r="D479" t="str">
            <v>SUCRE</v>
          </cell>
          <cell r="E479">
            <v>5517</v>
          </cell>
          <cell r="F479">
            <v>322</v>
          </cell>
          <cell r="G479" t="str">
            <v>D</v>
          </cell>
          <cell r="R479">
            <v>0</v>
          </cell>
        </row>
        <row r="480">
          <cell r="C480" t="str">
            <v>SOATA</v>
          </cell>
          <cell r="D480" t="str">
            <v>BOYACA</v>
          </cell>
          <cell r="E480">
            <v>5504</v>
          </cell>
          <cell r="F480">
            <v>502</v>
          </cell>
          <cell r="G480" t="str">
            <v>F</v>
          </cell>
          <cell r="R480">
            <v>0</v>
          </cell>
          <cell r="X480">
            <v>1</v>
          </cell>
        </row>
        <row r="481">
          <cell r="C481" t="str">
            <v>EL PLAYON</v>
          </cell>
          <cell r="D481" t="str">
            <v>SANTANDER</v>
          </cell>
          <cell r="E481">
            <v>5498</v>
          </cell>
          <cell r="F481">
            <v>526</v>
          </cell>
          <cell r="G481" t="str">
            <v>F</v>
          </cell>
          <cell r="R481">
            <v>0</v>
          </cell>
          <cell r="X481">
            <v>1</v>
          </cell>
        </row>
        <row r="482">
          <cell r="C482" t="str">
            <v>URIBIA</v>
          </cell>
          <cell r="D482" t="str">
            <v>LA GUAJIRA</v>
          </cell>
          <cell r="E482">
            <v>5494</v>
          </cell>
          <cell r="F482">
            <v>251</v>
          </cell>
          <cell r="G482" t="str">
            <v>E</v>
          </cell>
          <cell r="R482">
            <v>0</v>
          </cell>
          <cell r="X482">
            <v>1</v>
          </cell>
        </row>
        <row r="483">
          <cell r="C483" t="str">
            <v>SAN CARLOS</v>
          </cell>
          <cell r="D483" t="str">
            <v>ANTIOQUIA</v>
          </cell>
          <cell r="E483">
            <v>5489</v>
          </cell>
          <cell r="F483">
            <v>308</v>
          </cell>
          <cell r="G483" t="str">
            <v>F</v>
          </cell>
          <cell r="R483">
            <v>0</v>
          </cell>
          <cell r="X483">
            <v>1</v>
          </cell>
        </row>
        <row r="484">
          <cell r="C484" t="str">
            <v>EL MOLINO</v>
          </cell>
          <cell r="D484" t="str">
            <v>LA GUAJIRA</v>
          </cell>
          <cell r="E484">
            <v>5476</v>
          </cell>
          <cell r="F484">
            <v>101</v>
          </cell>
          <cell r="G484" t="str">
            <v>C</v>
          </cell>
          <cell r="R484">
            <v>0</v>
          </cell>
          <cell r="X484">
            <v>1</v>
          </cell>
        </row>
        <row r="485">
          <cell r="C485" t="str">
            <v>SAN BENITO ABAD</v>
          </cell>
          <cell r="D485" t="str">
            <v>SUCRE</v>
          </cell>
          <cell r="E485">
            <v>5474</v>
          </cell>
          <cell r="F485">
            <v>165</v>
          </cell>
          <cell r="G485" t="str">
            <v>D</v>
          </cell>
          <cell r="R485">
            <v>0</v>
          </cell>
        </row>
        <row r="486">
          <cell r="C486" t="str">
            <v>PAIMADO</v>
          </cell>
          <cell r="D486" t="str">
            <v>CHOCO</v>
          </cell>
          <cell r="E486">
            <v>5454</v>
          </cell>
          <cell r="F486">
            <v>0</v>
          </cell>
          <cell r="G486" t="str">
            <v>A</v>
          </cell>
          <cell r="R486">
            <v>0</v>
          </cell>
        </row>
        <row r="487">
          <cell r="C487" t="str">
            <v>SOTOMAYOR</v>
          </cell>
          <cell r="D487" t="str">
            <v>NARIÑO</v>
          </cell>
          <cell r="E487">
            <v>5425</v>
          </cell>
          <cell r="F487">
            <v>142</v>
          </cell>
          <cell r="G487" t="str">
            <v>D</v>
          </cell>
          <cell r="R487">
            <v>0</v>
          </cell>
        </row>
        <row r="488">
          <cell r="C488" t="str">
            <v>CAÑASGORDAS</v>
          </cell>
          <cell r="D488" t="str">
            <v>ANTIOQUIA</v>
          </cell>
          <cell r="E488">
            <v>5417</v>
          </cell>
          <cell r="F488">
            <v>232</v>
          </cell>
          <cell r="G488" t="str">
            <v>F</v>
          </cell>
          <cell r="R488">
            <v>0</v>
          </cell>
        </row>
        <row r="489">
          <cell r="C489" t="str">
            <v>MOÑITOS</v>
          </cell>
          <cell r="D489" t="str">
            <v>CORDOBA</v>
          </cell>
          <cell r="E489">
            <v>5411</v>
          </cell>
          <cell r="F489">
            <v>340</v>
          </cell>
          <cell r="G489" t="str">
            <v>D</v>
          </cell>
          <cell r="R489">
            <v>0</v>
          </cell>
        </row>
        <row r="490">
          <cell r="C490" t="str">
            <v>MUZO</v>
          </cell>
          <cell r="D490" t="str">
            <v>BOYACA</v>
          </cell>
          <cell r="E490">
            <v>5389</v>
          </cell>
          <cell r="F490">
            <v>371</v>
          </cell>
          <cell r="G490" t="str">
            <v>E</v>
          </cell>
          <cell r="R490">
            <v>0</v>
          </cell>
          <cell r="X490">
            <v>1</v>
          </cell>
        </row>
        <row r="491">
          <cell r="C491" t="str">
            <v>REMOLINO</v>
          </cell>
          <cell r="D491" t="str">
            <v>MAGDALENA</v>
          </cell>
          <cell r="E491">
            <v>5363</v>
          </cell>
          <cell r="F491">
            <v>103</v>
          </cell>
          <cell r="G491" t="str">
            <v>B</v>
          </cell>
          <cell r="R491">
            <v>0</v>
          </cell>
        </row>
        <row r="492">
          <cell r="C492" t="str">
            <v>ANORI</v>
          </cell>
          <cell r="D492" t="str">
            <v>ANTIOQUIA</v>
          </cell>
          <cell r="E492">
            <v>5342</v>
          </cell>
          <cell r="F492">
            <v>197</v>
          </cell>
          <cell r="G492" t="str">
            <v>E</v>
          </cell>
          <cell r="R492">
            <v>0</v>
          </cell>
        </row>
        <row r="493">
          <cell r="C493" t="str">
            <v>COGUA</v>
          </cell>
          <cell r="D493" t="str">
            <v>CUNDINAMARCA</v>
          </cell>
          <cell r="E493">
            <v>5341</v>
          </cell>
          <cell r="F493">
            <v>290</v>
          </cell>
          <cell r="G493" t="str">
            <v>F</v>
          </cell>
          <cell r="R493">
            <v>0</v>
          </cell>
          <cell r="X493">
            <v>1</v>
          </cell>
        </row>
        <row r="494">
          <cell r="C494" t="str">
            <v>PUENTE NACIONAL</v>
          </cell>
          <cell r="D494" t="str">
            <v>SANTANDER</v>
          </cell>
          <cell r="E494">
            <v>5328</v>
          </cell>
          <cell r="F494">
            <v>374</v>
          </cell>
          <cell r="G494" t="str">
            <v>F</v>
          </cell>
          <cell r="R494">
            <v>0</v>
          </cell>
          <cell r="X494">
            <v>1</v>
          </cell>
        </row>
        <row r="495">
          <cell r="C495" t="str">
            <v>ARROYO HONDO</v>
          </cell>
          <cell r="D495" t="str">
            <v>BOLIVAR</v>
          </cell>
          <cell r="E495">
            <v>5313</v>
          </cell>
          <cell r="F495">
            <v>68</v>
          </cell>
          <cell r="G495" t="str">
            <v>B</v>
          </cell>
          <cell r="R495">
            <v>0</v>
          </cell>
        </row>
        <row r="496">
          <cell r="C496" t="str">
            <v>SUBACHOQUE</v>
          </cell>
          <cell r="D496" t="str">
            <v>CUNDINAMARCA</v>
          </cell>
          <cell r="E496">
            <v>5292</v>
          </cell>
          <cell r="F496">
            <v>377</v>
          </cell>
          <cell r="G496" t="str">
            <v>F</v>
          </cell>
          <cell r="R496">
            <v>0</v>
          </cell>
          <cell r="X496">
            <v>1</v>
          </cell>
        </row>
        <row r="497">
          <cell r="C497" t="str">
            <v>CURILLO</v>
          </cell>
          <cell r="D497" t="str">
            <v>CAQUETA</v>
          </cell>
          <cell r="E497">
            <v>5278</v>
          </cell>
          <cell r="F497">
            <v>420</v>
          </cell>
          <cell r="G497" t="str">
            <v>E</v>
          </cell>
          <cell r="R497">
            <v>0</v>
          </cell>
          <cell r="X497">
            <v>1</v>
          </cell>
        </row>
        <row r="498">
          <cell r="C498" t="str">
            <v>PUPIALES</v>
          </cell>
          <cell r="D498" t="str">
            <v>NARIÑO</v>
          </cell>
          <cell r="E498">
            <v>5257</v>
          </cell>
          <cell r="F498">
            <v>427</v>
          </cell>
          <cell r="G498" t="str">
            <v>F</v>
          </cell>
          <cell r="R498">
            <v>0</v>
          </cell>
        </row>
        <row r="499">
          <cell r="C499" t="str">
            <v>VILLAPINZON</v>
          </cell>
          <cell r="D499" t="str">
            <v>CUNDINAMARCA</v>
          </cell>
          <cell r="E499">
            <v>5250</v>
          </cell>
          <cell r="F499">
            <v>578</v>
          </cell>
          <cell r="G499" t="str">
            <v>F</v>
          </cell>
          <cell r="R499">
            <v>1</v>
          </cell>
          <cell r="X499">
            <v>1</v>
          </cell>
        </row>
        <row r="500">
          <cell r="C500" t="str">
            <v>TOLU</v>
          </cell>
          <cell r="D500" t="str">
            <v>SUCRE</v>
          </cell>
          <cell r="E500">
            <v>5238</v>
          </cell>
          <cell r="F500">
            <v>197</v>
          </cell>
          <cell r="G500" t="str">
            <v>F</v>
          </cell>
          <cell r="R500">
            <v>1</v>
          </cell>
          <cell r="X500">
            <v>1</v>
          </cell>
        </row>
        <row r="501">
          <cell r="C501" t="str">
            <v>RIOFRIO</v>
          </cell>
          <cell r="D501" t="str">
            <v>VALLE</v>
          </cell>
          <cell r="E501">
            <v>5224</v>
          </cell>
          <cell r="F501">
            <v>169</v>
          </cell>
          <cell r="G501" t="str">
            <v>F</v>
          </cell>
          <cell r="R501">
            <v>1</v>
          </cell>
          <cell r="X501">
            <v>1</v>
          </cell>
        </row>
        <row r="502">
          <cell r="C502" t="str">
            <v>VILLA DE LEIVA</v>
          </cell>
          <cell r="D502" t="str">
            <v>BOYACA</v>
          </cell>
          <cell r="E502">
            <v>5219</v>
          </cell>
          <cell r="F502">
            <v>516</v>
          </cell>
          <cell r="G502" t="str">
            <v>F</v>
          </cell>
          <cell r="R502">
            <v>1</v>
          </cell>
          <cell r="X502">
            <v>1</v>
          </cell>
        </row>
        <row r="503">
          <cell r="C503" t="str">
            <v>APIA </v>
          </cell>
          <cell r="D503" t="str">
            <v>RISARALDA</v>
          </cell>
          <cell r="E503">
            <v>5209</v>
          </cell>
          <cell r="F503">
            <v>480</v>
          </cell>
          <cell r="G503" t="str">
            <v>F</v>
          </cell>
          <cell r="R503">
            <v>0</v>
          </cell>
          <cell r="X503">
            <v>1</v>
          </cell>
        </row>
        <row r="504">
          <cell r="C504" t="str">
            <v>NOBSA</v>
          </cell>
          <cell r="D504" t="str">
            <v>BOYACA</v>
          </cell>
          <cell r="E504">
            <v>5183</v>
          </cell>
          <cell r="F504">
            <v>293</v>
          </cell>
          <cell r="G504" t="str">
            <v>F</v>
          </cell>
          <cell r="R504">
            <v>1</v>
          </cell>
          <cell r="X504">
            <v>1</v>
          </cell>
        </row>
        <row r="505">
          <cell r="C505" t="str">
            <v>BETULIA</v>
          </cell>
          <cell r="D505" t="str">
            <v>ANTIOQUIA</v>
          </cell>
          <cell r="E505">
            <v>5183</v>
          </cell>
          <cell r="F505">
            <v>189</v>
          </cell>
          <cell r="G505" t="str">
            <v>E</v>
          </cell>
          <cell r="R505">
            <v>0</v>
          </cell>
        </row>
        <row r="506">
          <cell r="C506" t="str">
            <v>EL DOVIO</v>
          </cell>
          <cell r="D506" t="str">
            <v>VALLE</v>
          </cell>
          <cell r="E506">
            <v>5175</v>
          </cell>
          <cell r="F506">
            <v>353</v>
          </cell>
          <cell r="G506" t="str">
            <v>E</v>
          </cell>
          <cell r="R506">
            <v>0</v>
          </cell>
          <cell r="X506">
            <v>1</v>
          </cell>
        </row>
        <row r="507">
          <cell r="C507" t="str">
            <v>BOLIVAR</v>
          </cell>
          <cell r="D507" t="str">
            <v>CAUCA</v>
          </cell>
          <cell r="E507">
            <v>5151</v>
          </cell>
          <cell r="F507">
            <v>365</v>
          </cell>
          <cell r="G507" t="str">
            <v>F</v>
          </cell>
          <cell r="R507">
            <v>0</v>
          </cell>
          <cell r="X507">
            <v>1</v>
          </cell>
        </row>
        <row r="508">
          <cell r="C508" t="str">
            <v>UNION</v>
          </cell>
          <cell r="D508" t="str">
            <v>SUCRE</v>
          </cell>
          <cell r="E508">
            <v>5134</v>
          </cell>
          <cell r="F508">
            <v>17</v>
          </cell>
          <cell r="G508" t="str">
            <v>F</v>
          </cell>
          <cell r="R508">
            <v>0</v>
          </cell>
        </row>
        <row r="509">
          <cell r="C509" t="str">
            <v>SAN SEBASTIAN DE BUENAVISTA</v>
          </cell>
          <cell r="D509" t="str">
            <v>MAGDALENA</v>
          </cell>
          <cell r="E509">
            <v>5129</v>
          </cell>
          <cell r="F509">
            <v>211</v>
          </cell>
          <cell r="G509" t="str">
            <v>A</v>
          </cell>
          <cell r="R509">
            <v>0</v>
          </cell>
          <cell r="X509">
            <v>1</v>
          </cell>
        </row>
        <row r="510">
          <cell r="C510" t="str">
            <v>EL TAMBO</v>
          </cell>
          <cell r="D510" t="str">
            <v>NARIÑO</v>
          </cell>
          <cell r="E510">
            <v>5124</v>
          </cell>
          <cell r="F510">
            <v>612</v>
          </cell>
          <cell r="G510" t="str">
            <v>E</v>
          </cell>
          <cell r="R510">
            <v>0</v>
          </cell>
          <cell r="X510">
            <v>1</v>
          </cell>
        </row>
        <row r="511">
          <cell r="C511" t="str">
            <v>TALAIGUA NUEVO</v>
          </cell>
          <cell r="D511" t="str">
            <v>BOLIVAR</v>
          </cell>
          <cell r="E511">
            <v>5100</v>
          </cell>
          <cell r="F511">
            <v>224</v>
          </cell>
          <cell r="G511" t="str">
            <v>B</v>
          </cell>
          <cell r="R511">
            <v>0</v>
          </cell>
          <cell r="X511">
            <v>1</v>
          </cell>
        </row>
        <row r="512">
          <cell r="C512" t="str">
            <v>TAMALAMEQUE</v>
          </cell>
          <cell r="D512" t="str">
            <v>CESAR</v>
          </cell>
          <cell r="E512">
            <v>5096</v>
          </cell>
          <cell r="F512">
            <v>116</v>
          </cell>
          <cell r="G512" t="str">
            <v>E</v>
          </cell>
          <cell r="R512">
            <v>0</v>
          </cell>
          <cell r="X512">
            <v>1</v>
          </cell>
        </row>
        <row r="513">
          <cell r="C513" t="str">
            <v>GOMEZ PLATA</v>
          </cell>
          <cell r="D513" t="str">
            <v>ANTIOQUIA</v>
          </cell>
          <cell r="E513">
            <v>5065</v>
          </cell>
          <cell r="F513">
            <v>303</v>
          </cell>
          <cell r="G513" t="str">
            <v>E</v>
          </cell>
          <cell r="R513">
            <v>0</v>
          </cell>
        </row>
        <row r="514">
          <cell r="C514" t="str">
            <v>PUERTO RICO</v>
          </cell>
          <cell r="D514" t="str">
            <v>META</v>
          </cell>
          <cell r="E514">
            <v>5058</v>
          </cell>
          <cell r="F514">
            <v>376</v>
          </cell>
          <cell r="G514" t="str">
            <v>F</v>
          </cell>
          <cell r="R514">
            <v>1</v>
          </cell>
          <cell r="X514">
            <v>1</v>
          </cell>
        </row>
        <row r="515">
          <cell r="C515" t="str">
            <v>BARRANCO DE LOBA</v>
          </cell>
          <cell r="D515" t="str">
            <v>BOLIVAR</v>
          </cell>
          <cell r="E515">
            <v>5058</v>
          </cell>
          <cell r="F515">
            <v>88</v>
          </cell>
          <cell r="G515" t="str">
            <v>C</v>
          </cell>
          <cell r="R515">
            <v>0</v>
          </cell>
        </row>
        <row r="516">
          <cell r="C516" t="str">
            <v>SALAMINA</v>
          </cell>
          <cell r="D516" t="str">
            <v>MAGDALENA</v>
          </cell>
          <cell r="E516">
            <v>4957</v>
          </cell>
          <cell r="F516">
            <v>142</v>
          </cell>
          <cell r="G516" t="str">
            <v>B</v>
          </cell>
          <cell r="R516">
            <v>0</v>
          </cell>
        </row>
        <row r="517">
          <cell r="C517" t="str">
            <v>SAN CRISTOBAL</v>
          </cell>
          <cell r="D517" t="str">
            <v>BOLIVAR</v>
          </cell>
          <cell r="E517">
            <v>4936</v>
          </cell>
          <cell r="F517">
            <v>42</v>
          </cell>
          <cell r="G517" t="str">
            <v>B</v>
          </cell>
          <cell r="R517">
            <v>0</v>
          </cell>
        </row>
        <row r="518">
          <cell r="C518" t="str">
            <v>VALDIVIA</v>
          </cell>
          <cell r="D518" t="str">
            <v>ANTIOQUIA</v>
          </cell>
          <cell r="E518">
            <v>4930</v>
          </cell>
          <cell r="F518">
            <v>158</v>
          </cell>
          <cell r="G518" t="str">
            <v>F</v>
          </cell>
          <cell r="R518">
            <v>0</v>
          </cell>
          <cell r="X518">
            <v>1</v>
          </cell>
        </row>
        <row r="519">
          <cell r="C519" t="str">
            <v>HOBO</v>
          </cell>
          <cell r="D519" t="str">
            <v>HUILA</v>
          </cell>
          <cell r="E519">
            <v>4929</v>
          </cell>
          <cell r="F519">
            <v>287</v>
          </cell>
          <cell r="G519" t="str">
            <v>E</v>
          </cell>
          <cell r="R519">
            <v>0</v>
          </cell>
          <cell r="X519">
            <v>1</v>
          </cell>
        </row>
        <row r="520">
          <cell r="C520" t="str">
            <v>NEMOCON</v>
          </cell>
          <cell r="D520" t="str">
            <v>CUNDINAMARCA</v>
          </cell>
          <cell r="E520">
            <v>4903</v>
          </cell>
          <cell r="F520">
            <v>289</v>
          </cell>
          <cell r="G520" t="str">
            <v>E</v>
          </cell>
          <cell r="R520">
            <v>0</v>
          </cell>
          <cell r="X520">
            <v>1</v>
          </cell>
        </row>
        <row r="521">
          <cell r="C521" t="str">
            <v>EL CARMEN</v>
          </cell>
          <cell r="D521" t="str">
            <v>SANTANDER</v>
          </cell>
          <cell r="E521">
            <v>4903</v>
          </cell>
          <cell r="F521">
            <v>75</v>
          </cell>
          <cell r="G521" t="str">
            <v>C</v>
          </cell>
          <cell r="R521">
            <v>0</v>
          </cell>
        </row>
        <row r="522">
          <cell r="C522" t="str">
            <v>TESALIA</v>
          </cell>
          <cell r="D522" t="str">
            <v>HUILA</v>
          </cell>
          <cell r="E522">
            <v>4899</v>
          </cell>
          <cell r="F522">
            <v>209</v>
          </cell>
          <cell r="G522" t="str">
            <v>E</v>
          </cell>
          <cell r="R522">
            <v>0</v>
          </cell>
          <cell r="X522">
            <v>1</v>
          </cell>
        </row>
        <row r="523">
          <cell r="C523" t="str">
            <v>SAMANA</v>
          </cell>
          <cell r="D523" t="str">
            <v>CALDAS</v>
          </cell>
          <cell r="E523">
            <v>4898</v>
          </cell>
          <cell r="F523">
            <v>408</v>
          </cell>
          <cell r="G523" t="str">
            <v>F</v>
          </cell>
          <cell r="R523">
            <v>0</v>
          </cell>
          <cell r="X523">
            <v>1</v>
          </cell>
        </row>
        <row r="524">
          <cell r="C524" t="str">
            <v>CALAMAR</v>
          </cell>
          <cell r="D524" t="str">
            <v>GUAVIARE</v>
          </cell>
          <cell r="E524">
            <v>4855</v>
          </cell>
          <cell r="F524">
            <v>0</v>
          </cell>
          <cell r="G524" t="str">
            <v>D</v>
          </cell>
          <cell r="R524">
            <v>0</v>
          </cell>
        </row>
        <row r="525">
          <cell r="C525" t="str">
            <v>BELALCAZAR</v>
          </cell>
          <cell r="D525" t="str">
            <v>CALDAS</v>
          </cell>
          <cell r="E525">
            <v>4842</v>
          </cell>
          <cell r="F525">
            <v>357</v>
          </cell>
          <cell r="G525" t="str">
            <v>F</v>
          </cell>
          <cell r="R525">
            <v>0</v>
          </cell>
          <cell r="X525">
            <v>1</v>
          </cell>
        </row>
        <row r="526">
          <cell r="C526" t="str">
            <v>SAMACA</v>
          </cell>
          <cell r="D526" t="str">
            <v>BOYACA</v>
          </cell>
          <cell r="E526">
            <v>4809</v>
          </cell>
          <cell r="F526">
            <v>414</v>
          </cell>
          <cell r="G526" t="str">
            <v>F</v>
          </cell>
          <cell r="R526">
            <v>1</v>
          </cell>
          <cell r="X526">
            <v>2</v>
          </cell>
        </row>
        <row r="527">
          <cell r="C527" t="str">
            <v>ANAPOIMA</v>
          </cell>
          <cell r="D527" t="str">
            <v>CUNDINAMARCA</v>
          </cell>
          <cell r="E527">
            <v>4804</v>
          </cell>
          <cell r="F527">
            <v>245</v>
          </cell>
          <cell r="G527" t="str">
            <v>E</v>
          </cell>
          <cell r="R527">
            <v>2</v>
          </cell>
          <cell r="X527">
            <v>2</v>
          </cell>
        </row>
        <row r="528">
          <cell r="C528" t="str">
            <v>SAN JOSE DE ISNOS</v>
          </cell>
          <cell r="D528" t="str">
            <v>HUILA</v>
          </cell>
          <cell r="E528">
            <v>4802</v>
          </cell>
          <cell r="F528">
            <v>441</v>
          </cell>
          <cell r="G528" t="str">
            <v>E</v>
          </cell>
          <cell r="R528">
            <v>0</v>
          </cell>
          <cell r="X528">
            <v>1</v>
          </cell>
        </row>
        <row r="529">
          <cell r="C529" t="str">
            <v>SUSA</v>
          </cell>
          <cell r="D529" t="str">
            <v>CUNDINAMARCA</v>
          </cell>
          <cell r="E529">
            <v>4801</v>
          </cell>
          <cell r="F529">
            <v>151</v>
          </cell>
          <cell r="G529" t="str">
            <v>D</v>
          </cell>
          <cell r="R529">
            <v>0</v>
          </cell>
          <cell r="X529">
            <v>2</v>
          </cell>
        </row>
        <row r="530">
          <cell r="C530" t="str">
            <v>BUESACO</v>
          </cell>
          <cell r="D530" t="str">
            <v>NARIÑO</v>
          </cell>
          <cell r="E530">
            <v>4773</v>
          </cell>
          <cell r="F530">
            <v>560</v>
          </cell>
          <cell r="G530" t="str">
            <v>E</v>
          </cell>
          <cell r="R530">
            <v>0</v>
          </cell>
          <cell r="X530">
            <v>1</v>
          </cell>
        </row>
        <row r="531">
          <cell r="C531" t="str">
            <v>GENOVA</v>
          </cell>
          <cell r="D531" t="str">
            <v>QUINDIO</v>
          </cell>
          <cell r="E531">
            <v>4756</v>
          </cell>
          <cell r="F531">
            <v>299</v>
          </cell>
          <cell r="G531" t="str">
            <v>E</v>
          </cell>
          <cell r="R531">
            <v>0</v>
          </cell>
          <cell r="X531">
            <v>1</v>
          </cell>
        </row>
        <row r="532">
          <cell r="C532" t="str">
            <v>BOJAYA</v>
          </cell>
          <cell r="D532" t="str">
            <v>CHOCO</v>
          </cell>
          <cell r="E532">
            <v>4733</v>
          </cell>
          <cell r="F532">
            <v>0</v>
          </cell>
          <cell r="G532" t="str">
            <v>B</v>
          </cell>
          <cell r="R532">
            <v>0</v>
          </cell>
        </row>
        <row r="533">
          <cell r="C533" t="str">
            <v>MIRAFLORES</v>
          </cell>
          <cell r="D533" t="str">
            <v>BOYACA</v>
          </cell>
          <cell r="E533">
            <v>4731</v>
          </cell>
          <cell r="F533">
            <v>515</v>
          </cell>
          <cell r="G533" t="str">
            <v>F</v>
          </cell>
          <cell r="R533">
            <v>0</v>
          </cell>
          <cell r="X533">
            <v>1</v>
          </cell>
        </row>
        <row r="534">
          <cell r="C534" t="str">
            <v>GUADALUPE</v>
          </cell>
          <cell r="D534" t="str">
            <v>HUILA</v>
          </cell>
          <cell r="E534">
            <v>4728</v>
          </cell>
          <cell r="F534">
            <v>336</v>
          </cell>
          <cell r="G534" t="str">
            <v>F</v>
          </cell>
          <cell r="R534">
            <v>0</v>
          </cell>
          <cell r="X534">
            <v>1</v>
          </cell>
        </row>
        <row r="535">
          <cell r="C535" t="str">
            <v>PUERTO TRIUNFO</v>
          </cell>
          <cell r="D535" t="str">
            <v>ANTIOQUIA</v>
          </cell>
          <cell r="E535">
            <v>4726</v>
          </cell>
          <cell r="F535">
            <v>150</v>
          </cell>
          <cell r="G535" t="str">
            <v>F</v>
          </cell>
          <cell r="R535">
            <v>0</v>
          </cell>
          <cell r="X535">
            <v>1</v>
          </cell>
        </row>
        <row r="536">
          <cell r="C536" t="str">
            <v>MORALES</v>
          </cell>
          <cell r="D536" t="str">
            <v>BOLIVAR</v>
          </cell>
          <cell r="E536">
            <v>4679</v>
          </cell>
          <cell r="F536">
            <v>263</v>
          </cell>
          <cell r="G536" t="str">
            <v>D</v>
          </cell>
          <cell r="R536">
            <v>0</v>
          </cell>
          <cell r="X536">
            <v>1</v>
          </cell>
        </row>
        <row r="537">
          <cell r="C537" t="str">
            <v>SAN LUIS</v>
          </cell>
          <cell r="D537" t="str">
            <v>ANTIOQUIA</v>
          </cell>
          <cell r="E537">
            <v>4661</v>
          </cell>
          <cell r="F537">
            <v>302</v>
          </cell>
          <cell r="G537" t="str">
            <v>E</v>
          </cell>
          <cell r="R537">
            <v>0</v>
          </cell>
          <cell r="X537">
            <v>1</v>
          </cell>
        </row>
        <row r="538">
          <cell r="C538" t="str">
            <v>ACEVEDO</v>
          </cell>
          <cell r="D538" t="str">
            <v>HUILA</v>
          </cell>
          <cell r="E538">
            <v>4648</v>
          </cell>
          <cell r="F538">
            <v>279</v>
          </cell>
          <cell r="G538" t="str">
            <v>F</v>
          </cell>
          <cell r="R538">
            <v>0</v>
          </cell>
          <cell r="X538">
            <v>1</v>
          </cell>
        </row>
        <row r="539">
          <cell r="C539" t="str">
            <v>ARBELAEZ</v>
          </cell>
          <cell r="D539" t="str">
            <v>CUNDINAMARCA</v>
          </cell>
          <cell r="E539">
            <v>4627</v>
          </cell>
          <cell r="F539">
            <v>304</v>
          </cell>
          <cell r="G539" t="str">
            <v>F</v>
          </cell>
          <cell r="R539">
            <v>0</v>
          </cell>
          <cell r="X539">
            <v>1</v>
          </cell>
        </row>
        <row r="540">
          <cell r="C540" t="str">
            <v>AGRADO</v>
          </cell>
          <cell r="D540" t="str">
            <v>HUILA</v>
          </cell>
          <cell r="E540">
            <v>4621</v>
          </cell>
          <cell r="F540">
            <v>273</v>
          </cell>
          <cell r="G540" t="str">
            <v>E</v>
          </cell>
          <cell r="R540">
            <v>0</v>
          </cell>
          <cell r="X540">
            <v>1</v>
          </cell>
        </row>
        <row r="541">
          <cell r="C541" t="str">
            <v>SAN CARLOS</v>
          </cell>
          <cell r="D541" t="str">
            <v>CORDOBA</v>
          </cell>
          <cell r="E541">
            <v>4594</v>
          </cell>
          <cell r="F541">
            <v>129</v>
          </cell>
          <cell r="G541" t="str">
            <v>D</v>
          </cell>
          <cell r="R541">
            <v>0</v>
          </cell>
        </row>
        <row r="542">
          <cell r="C542" t="str">
            <v>ATACO</v>
          </cell>
          <cell r="D542" t="str">
            <v>TOLIMA</v>
          </cell>
          <cell r="E542">
            <v>4566</v>
          </cell>
          <cell r="F542">
            <v>216</v>
          </cell>
          <cell r="G542" t="str">
            <v>F</v>
          </cell>
          <cell r="R542">
            <v>0</v>
          </cell>
        </row>
        <row r="543">
          <cell r="C543" t="str">
            <v>MERCADERES</v>
          </cell>
          <cell r="D543" t="str">
            <v>CAUCA</v>
          </cell>
          <cell r="E543">
            <v>4563</v>
          </cell>
          <cell r="F543">
            <v>250</v>
          </cell>
          <cell r="G543" t="str">
            <v>E</v>
          </cell>
          <cell r="R543">
            <v>0</v>
          </cell>
          <cell r="X543">
            <v>1</v>
          </cell>
        </row>
        <row r="544">
          <cell r="C544" t="str">
            <v>TIQUICIO</v>
          </cell>
          <cell r="D544" t="str">
            <v>BOLIVAR</v>
          </cell>
          <cell r="E544">
            <v>4546</v>
          </cell>
          <cell r="F544">
            <v>66</v>
          </cell>
          <cell r="G544" t="str">
            <v>A</v>
          </cell>
          <cell r="R544">
            <v>0</v>
          </cell>
        </row>
        <row r="545">
          <cell r="C545" t="str">
            <v>OIBA</v>
          </cell>
          <cell r="D545" t="str">
            <v>SANTANDER</v>
          </cell>
          <cell r="E545">
            <v>4533</v>
          </cell>
          <cell r="F545">
            <v>391</v>
          </cell>
          <cell r="G545" t="str">
            <v>F</v>
          </cell>
          <cell r="R545">
            <v>0</v>
          </cell>
          <cell r="X545">
            <v>1</v>
          </cell>
        </row>
        <row r="546">
          <cell r="C546" t="str">
            <v>SAN JOSE DEL FRAGUA</v>
          </cell>
          <cell r="D546" t="str">
            <v>CAQUETA</v>
          </cell>
          <cell r="E546">
            <v>4525</v>
          </cell>
          <cell r="F546">
            <v>120</v>
          </cell>
          <cell r="G546" t="str">
            <v>E</v>
          </cell>
          <cell r="R546">
            <v>1</v>
          </cell>
        </row>
        <row r="547">
          <cell r="C547" t="str">
            <v>LA VEGA</v>
          </cell>
          <cell r="D547" t="str">
            <v>CUNDINAMARCA</v>
          </cell>
          <cell r="E547">
            <v>4508</v>
          </cell>
          <cell r="F547">
            <v>506</v>
          </cell>
          <cell r="G547" t="str">
            <v>F</v>
          </cell>
          <cell r="R547">
            <v>0</v>
          </cell>
          <cell r="X547">
            <v>1</v>
          </cell>
        </row>
        <row r="548">
          <cell r="C548" t="str">
            <v>ACANDI</v>
          </cell>
          <cell r="D548" t="str">
            <v>CHOCO</v>
          </cell>
          <cell r="E548">
            <v>4487</v>
          </cell>
          <cell r="F548">
            <v>0</v>
          </cell>
          <cell r="G548" t="str">
            <v>B</v>
          </cell>
          <cell r="R548">
            <v>0</v>
          </cell>
        </row>
        <row r="549">
          <cell r="C549" t="str">
            <v>CUMARIBO</v>
          </cell>
          <cell r="D549" t="str">
            <v>VICHADA</v>
          </cell>
          <cell r="E549">
            <v>4486</v>
          </cell>
          <cell r="F549">
            <v>37</v>
          </cell>
          <cell r="G549" t="str">
            <v>D</v>
          </cell>
          <cell r="R549">
            <v>0</v>
          </cell>
        </row>
        <row r="550">
          <cell r="C550" t="str">
            <v>SUAREZ</v>
          </cell>
          <cell r="D550" t="str">
            <v>CAUCA</v>
          </cell>
          <cell r="E550">
            <v>4480</v>
          </cell>
          <cell r="F550">
            <v>102</v>
          </cell>
          <cell r="G550" t="str">
            <v>C</v>
          </cell>
          <cell r="R550">
            <v>0</v>
          </cell>
          <cell r="X550">
            <v>1</v>
          </cell>
        </row>
        <row r="551">
          <cell r="C551" t="str">
            <v>PALMITO</v>
          </cell>
          <cell r="D551" t="str">
            <v>SUCRE</v>
          </cell>
          <cell r="E551">
            <v>4468</v>
          </cell>
          <cell r="F551">
            <v>102</v>
          </cell>
          <cell r="G551" t="str">
            <v>C</v>
          </cell>
          <cell r="R551">
            <v>0</v>
          </cell>
        </row>
        <row r="552">
          <cell r="C552" t="str">
            <v>PITAL</v>
          </cell>
          <cell r="D552" t="str">
            <v>HUILA</v>
          </cell>
          <cell r="E552">
            <v>4389</v>
          </cell>
          <cell r="F552">
            <v>339</v>
          </cell>
          <cell r="G552" t="str">
            <v>F</v>
          </cell>
          <cell r="R552">
            <v>0</v>
          </cell>
          <cell r="X552">
            <v>1</v>
          </cell>
        </row>
        <row r="553">
          <cell r="C553" t="str">
            <v>SAN ANTONIO</v>
          </cell>
          <cell r="D553" t="str">
            <v>TOLIMA</v>
          </cell>
          <cell r="E553">
            <v>4352</v>
          </cell>
          <cell r="F553">
            <v>264</v>
          </cell>
          <cell r="G553" t="str">
            <v>E</v>
          </cell>
          <cell r="R553">
            <v>0</v>
          </cell>
          <cell r="X553">
            <v>1</v>
          </cell>
        </row>
        <row r="554">
          <cell r="C554" t="str">
            <v>MUTATA</v>
          </cell>
          <cell r="D554" t="str">
            <v>ANTIOQUIA</v>
          </cell>
          <cell r="E554">
            <v>4332</v>
          </cell>
          <cell r="F554">
            <v>184</v>
          </cell>
          <cell r="G554" t="str">
            <v>E</v>
          </cell>
          <cell r="R554">
            <v>0</v>
          </cell>
          <cell r="X554">
            <v>2</v>
          </cell>
        </row>
        <row r="555">
          <cell r="C555" t="str">
            <v>TARQUI</v>
          </cell>
          <cell r="D555" t="str">
            <v>HUILA</v>
          </cell>
          <cell r="E555">
            <v>4329</v>
          </cell>
          <cell r="F555">
            <v>224</v>
          </cell>
          <cell r="G555" t="str">
            <v>E</v>
          </cell>
          <cell r="R555">
            <v>0</v>
          </cell>
          <cell r="X555">
            <v>1</v>
          </cell>
        </row>
        <row r="556">
          <cell r="C556" t="str">
            <v>GUACHAVEZ</v>
          </cell>
          <cell r="D556" t="str">
            <v>NARIÑO</v>
          </cell>
          <cell r="E556">
            <v>4275</v>
          </cell>
          <cell r="F556">
            <v>27</v>
          </cell>
          <cell r="G556" t="str">
            <v>C</v>
          </cell>
          <cell r="R556">
            <v>0</v>
          </cell>
        </row>
        <row r="557">
          <cell r="C557" t="str">
            <v>RIOBLANCO </v>
          </cell>
          <cell r="D557" t="str">
            <v>TOLIMA</v>
          </cell>
          <cell r="E557">
            <v>4269</v>
          </cell>
          <cell r="F557">
            <v>350</v>
          </cell>
          <cell r="G557" t="str">
            <v>F</v>
          </cell>
          <cell r="R557">
            <v>0</v>
          </cell>
          <cell r="X557">
            <v>1</v>
          </cell>
        </row>
        <row r="558">
          <cell r="C558" t="str">
            <v>CERRO SAN ANTONIO</v>
          </cell>
          <cell r="D558" t="str">
            <v>MAGDALENA</v>
          </cell>
          <cell r="E558">
            <v>4258</v>
          </cell>
          <cell r="F558">
            <v>75</v>
          </cell>
          <cell r="G558" t="str">
            <v>D</v>
          </cell>
          <cell r="R558">
            <v>0</v>
          </cell>
        </row>
        <row r="559">
          <cell r="C559" t="str">
            <v>ANGELOPOLIS</v>
          </cell>
          <cell r="D559" t="str">
            <v>ANTIOQUIA</v>
          </cell>
          <cell r="E559">
            <v>4240</v>
          </cell>
          <cell r="F559">
            <v>122</v>
          </cell>
          <cell r="G559" t="str">
            <v>E</v>
          </cell>
          <cell r="R559">
            <v>0</v>
          </cell>
        </row>
        <row r="560">
          <cell r="C560" t="str">
            <v>TOLEDO</v>
          </cell>
          <cell r="D560" t="str">
            <v>NORTE DE SANTANDER</v>
          </cell>
          <cell r="E560">
            <v>4234</v>
          </cell>
          <cell r="F560">
            <v>307</v>
          </cell>
          <cell r="G560" t="str">
            <v>D</v>
          </cell>
          <cell r="R560">
            <v>0</v>
          </cell>
          <cell r="X560">
            <v>1</v>
          </cell>
        </row>
        <row r="561">
          <cell r="C561" t="str">
            <v>GUATAPE</v>
          </cell>
          <cell r="D561" t="str">
            <v>ANTIOQUIA</v>
          </cell>
          <cell r="E561">
            <v>4229</v>
          </cell>
          <cell r="F561">
            <v>222</v>
          </cell>
          <cell r="G561" t="str">
            <v>D</v>
          </cell>
          <cell r="R561">
            <v>0</v>
          </cell>
          <cell r="X561">
            <v>1</v>
          </cell>
        </row>
        <row r="562">
          <cell r="C562" t="str">
            <v>COYAIMA</v>
          </cell>
          <cell r="D562" t="str">
            <v>TOLIMA</v>
          </cell>
          <cell r="E562">
            <v>4224</v>
          </cell>
          <cell r="F562">
            <v>148</v>
          </cell>
          <cell r="G562" t="str">
            <v>F</v>
          </cell>
          <cell r="R562">
            <v>0</v>
          </cell>
        </row>
        <row r="563">
          <cell r="C563" t="str">
            <v>ZONA BANANERA</v>
          </cell>
          <cell r="D563" t="str">
            <v>MAGDALENA</v>
          </cell>
          <cell r="E563">
            <v>4219</v>
          </cell>
          <cell r="F563">
            <v>110</v>
          </cell>
          <cell r="G563" t="str">
            <v>F</v>
          </cell>
          <cell r="R563">
            <v>0</v>
          </cell>
        </row>
        <row r="564">
          <cell r="C564" t="str">
            <v>MICAY</v>
          </cell>
          <cell r="D564" t="str">
            <v>CAUCA</v>
          </cell>
          <cell r="E564">
            <v>4219</v>
          </cell>
          <cell r="F564">
            <v>17</v>
          </cell>
          <cell r="G564" t="str">
            <v>B</v>
          </cell>
          <cell r="R564">
            <v>0</v>
          </cell>
        </row>
        <row r="565">
          <cell r="C565" t="str">
            <v>PROVIDENCIA</v>
          </cell>
          <cell r="D565" t="str">
            <v>NARIÑO</v>
          </cell>
          <cell r="E565">
            <v>4165</v>
          </cell>
          <cell r="F565">
            <v>43</v>
          </cell>
          <cell r="G565" t="str">
            <v>A</v>
          </cell>
          <cell r="R565">
            <v>0</v>
          </cell>
        </row>
        <row r="566">
          <cell r="C566" t="str">
            <v>CALOTO</v>
          </cell>
          <cell r="D566" t="str">
            <v>CAUCA</v>
          </cell>
          <cell r="E566">
            <v>4164</v>
          </cell>
          <cell r="F566">
            <v>209</v>
          </cell>
          <cell r="G566" t="str">
            <v>F</v>
          </cell>
          <cell r="R566">
            <v>1</v>
          </cell>
          <cell r="X566">
            <v>1</v>
          </cell>
        </row>
        <row r="567">
          <cell r="C567" t="str">
            <v>BAHIA SOLANO</v>
          </cell>
          <cell r="D567" t="str">
            <v>CHOCO</v>
          </cell>
          <cell r="E567">
            <v>4155</v>
          </cell>
          <cell r="F567">
            <v>1</v>
          </cell>
          <cell r="G567" t="str">
            <v>E</v>
          </cell>
          <cell r="R567">
            <v>1</v>
          </cell>
          <cell r="X567">
            <v>1</v>
          </cell>
        </row>
        <row r="568">
          <cell r="C568" t="str">
            <v>ARENAL</v>
          </cell>
          <cell r="D568" t="str">
            <v>BOLIVAR</v>
          </cell>
          <cell r="E568">
            <v>4141</v>
          </cell>
          <cell r="F568">
            <v>36</v>
          </cell>
          <cell r="G568" t="str">
            <v>A</v>
          </cell>
          <cell r="R568">
            <v>0</v>
          </cell>
          <cell r="X568">
            <v>1</v>
          </cell>
        </row>
        <row r="569">
          <cell r="C569" t="str">
            <v>TIBASOSA</v>
          </cell>
          <cell r="D569" t="str">
            <v>BOYACA</v>
          </cell>
          <cell r="E569">
            <v>4133</v>
          </cell>
          <cell r="F569">
            <v>343</v>
          </cell>
          <cell r="G569" t="str">
            <v>E</v>
          </cell>
          <cell r="R569">
            <v>0</v>
          </cell>
          <cell r="X569">
            <v>1</v>
          </cell>
        </row>
        <row r="570">
          <cell r="C570" t="str">
            <v>NORCASIA</v>
          </cell>
          <cell r="D570" t="str">
            <v>CALDAS</v>
          </cell>
          <cell r="E570">
            <v>4128</v>
          </cell>
          <cell r="F570">
            <v>230</v>
          </cell>
          <cell r="G570" t="str">
            <v>D</v>
          </cell>
          <cell r="R570">
            <v>0</v>
          </cell>
          <cell r="X570">
            <v>1</v>
          </cell>
        </row>
        <row r="571">
          <cell r="C571" t="str">
            <v>BELEN</v>
          </cell>
          <cell r="D571" t="str">
            <v>BOYACA</v>
          </cell>
          <cell r="E571">
            <v>4126</v>
          </cell>
          <cell r="F571">
            <v>476</v>
          </cell>
          <cell r="G571" t="str">
            <v>E</v>
          </cell>
          <cell r="R571">
            <v>0</v>
          </cell>
          <cell r="X571">
            <v>1</v>
          </cell>
        </row>
        <row r="572">
          <cell r="C572" t="str">
            <v>GUAMO </v>
          </cell>
          <cell r="D572" t="str">
            <v>BOLIVAR</v>
          </cell>
          <cell r="E572">
            <v>4117</v>
          </cell>
          <cell r="F572">
            <v>82</v>
          </cell>
          <cell r="G572" t="str">
            <v>C</v>
          </cell>
          <cell r="R572">
            <v>0</v>
          </cell>
        </row>
        <row r="573">
          <cell r="C573" t="str">
            <v>SILVIA</v>
          </cell>
          <cell r="D573" t="str">
            <v>CAUCA</v>
          </cell>
          <cell r="E573">
            <v>4099</v>
          </cell>
          <cell r="F573">
            <v>367</v>
          </cell>
          <cell r="G573" t="str">
            <v>F</v>
          </cell>
          <cell r="R573">
            <v>0</v>
          </cell>
          <cell r="X573">
            <v>1</v>
          </cell>
        </row>
        <row r="574">
          <cell r="C574" t="str">
            <v>PUEBLO BELLO</v>
          </cell>
          <cell r="D574" t="str">
            <v>CESAR</v>
          </cell>
          <cell r="E574">
            <v>4090</v>
          </cell>
          <cell r="F574">
            <v>230</v>
          </cell>
          <cell r="G574" t="str">
            <v>D</v>
          </cell>
          <cell r="R574">
            <v>0</v>
          </cell>
        </row>
        <row r="575">
          <cell r="C575" t="str">
            <v>PUEBLO RICO</v>
          </cell>
          <cell r="D575" t="str">
            <v>ANTIOQUIA</v>
          </cell>
          <cell r="E575">
            <v>4081</v>
          </cell>
          <cell r="F575">
            <v>279</v>
          </cell>
          <cell r="G575" t="str">
            <v>E</v>
          </cell>
          <cell r="R575">
            <v>0</v>
          </cell>
          <cell r="X575">
            <v>1</v>
          </cell>
        </row>
        <row r="576">
          <cell r="C576" t="str">
            <v>TERUEL</v>
          </cell>
          <cell r="D576" t="str">
            <v>HUILA</v>
          </cell>
          <cell r="E576">
            <v>4070</v>
          </cell>
          <cell r="F576">
            <v>225</v>
          </cell>
          <cell r="G576" t="str">
            <v>E</v>
          </cell>
          <cell r="R576">
            <v>0</v>
          </cell>
          <cell r="X576">
            <v>1</v>
          </cell>
        </row>
        <row r="577">
          <cell r="C577" t="str">
            <v>OROCUE</v>
          </cell>
          <cell r="D577" t="str">
            <v>CASANARE</v>
          </cell>
          <cell r="E577">
            <v>4046</v>
          </cell>
          <cell r="F577">
            <v>154</v>
          </cell>
          <cell r="G577" t="str">
            <v>E</v>
          </cell>
          <cell r="R577">
            <v>0</v>
          </cell>
        </row>
        <row r="578">
          <cell r="C578" t="str">
            <v>VIOTA</v>
          </cell>
          <cell r="D578" t="str">
            <v>CUNDINAMARCA</v>
          </cell>
          <cell r="E578">
            <v>4041</v>
          </cell>
          <cell r="F578">
            <v>344</v>
          </cell>
          <cell r="G578" t="str">
            <v>E</v>
          </cell>
          <cell r="R578">
            <v>0</v>
          </cell>
          <cell r="X578">
            <v>1</v>
          </cell>
        </row>
        <row r="579">
          <cell r="C579" t="str">
            <v>RISARALDA</v>
          </cell>
          <cell r="D579" t="str">
            <v>CALDAS</v>
          </cell>
          <cell r="E579">
            <v>4032</v>
          </cell>
          <cell r="F579">
            <v>331</v>
          </cell>
          <cell r="G579" t="str">
            <v>E</v>
          </cell>
          <cell r="R579">
            <v>0</v>
          </cell>
          <cell r="X579">
            <v>1</v>
          </cell>
        </row>
        <row r="580">
          <cell r="C580" t="str">
            <v>FOMEQUE</v>
          </cell>
          <cell r="D580" t="str">
            <v>CUNDINAMARCA</v>
          </cell>
          <cell r="E580">
            <v>4025</v>
          </cell>
          <cell r="F580">
            <v>331</v>
          </cell>
          <cell r="G580" t="str">
            <v>F</v>
          </cell>
          <cell r="R580">
            <v>0</v>
          </cell>
          <cell r="X580">
            <v>2</v>
          </cell>
        </row>
        <row r="581">
          <cell r="C581" t="str">
            <v>FILADELFIA</v>
          </cell>
          <cell r="D581" t="str">
            <v>CALDAS</v>
          </cell>
          <cell r="E581">
            <v>4019</v>
          </cell>
          <cell r="F581">
            <v>264</v>
          </cell>
          <cell r="G581" t="str">
            <v>F</v>
          </cell>
          <cell r="R581">
            <v>0</v>
          </cell>
          <cell r="X581">
            <v>1</v>
          </cell>
        </row>
        <row r="582">
          <cell r="C582" t="str">
            <v>GRANADA</v>
          </cell>
          <cell r="D582" t="str">
            <v>ANTIOQUIA</v>
          </cell>
          <cell r="E582">
            <v>3985</v>
          </cell>
          <cell r="F582">
            <v>166</v>
          </cell>
          <cell r="G582" t="str">
            <v>E</v>
          </cell>
          <cell r="R582">
            <v>1</v>
          </cell>
          <cell r="X582">
            <v>1</v>
          </cell>
        </row>
        <row r="583">
          <cell r="C583" t="str">
            <v>DISTRACCION</v>
          </cell>
          <cell r="D583" t="str">
            <v>LA GUAJIRA</v>
          </cell>
          <cell r="E583">
            <v>3984</v>
          </cell>
          <cell r="F583">
            <v>167</v>
          </cell>
          <cell r="G583" t="str">
            <v>D</v>
          </cell>
          <cell r="R583">
            <v>0</v>
          </cell>
          <cell r="X583">
            <v>1</v>
          </cell>
        </row>
        <row r="584">
          <cell r="C584" t="str">
            <v>ENTRERRIOS</v>
          </cell>
          <cell r="D584" t="str">
            <v>ANTIOQUIA</v>
          </cell>
          <cell r="E584">
            <v>3972</v>
          </cell>
          <cell r="F584">
            <v>278</v>
          </cell>
          <cell r="G584" t="str">
            <v>B</v>
          </cell>
          <cell r="R584">
            <v>0</v>
          </cell>
          <cell r="X584">
            <v>1</v>
          </cell>
        </row>
        <row r="585">
          <cell r="C585" t="str">
            <v>GUASCA</v>
          </cell>
          <cell r="D585" t="str">
            <v>CUNDINAMARCA</v>
          </cell>
          <cell r="E585">
            <v>3965</v>
          </cell>
          <cell r="F585">
            <v>345</v>
          </cell>
          <cell r="G585" t="str">
            <v>F</v>
          </cell>
          <cell r="R585">
            <v>0</v>
          </cell>
          <cell r="X585">
            <v>1</v>
          </cell>
        </row>
        <row r="586">
          <cell r="C586" t="str">
            <v>CONCORDIA </v>
          </cell>
          <cell r="D586" t="str">
            <v>MAGDALENA</v>
          </cell>
          <cell r="E586">
            <v>3950</v>
          </cell>
          <cell r="F586">
            <v>73</v>
          </cell>
          <cell r="G586" t="str">
            <v>A</v>
          </cell>
          <cell r="R586">
            <v>0</v>
          </cell>
        </row>
        <row r="587">
          <cell r="C587" t="str">
            <v>RAMIRIQUI</v>
          </cell>
          <cell r="D587" t="str">
            <v>BOYACA</v>
          </cell>
          <cell r="E587">
            <v>3944</v>
          </cell>
          <cell r="F587">
            <v>373</v>
          </cell>
          <cell r="G587" t="str">
            <v>F</v>
          </cell>
          <cell r="R587">
            <v>0</v>
          </cell>
          <cell r="X587">
            <v>1</v>
          </cell>
        </row>
        <row r="588">
          <cell r="C588" t="str">
            <v>COCORNA</v>
          </cell>
          <cell r="D588" t="str">
            <v>ANTIOQUIA</v>
          </cell>
          <cell r="E588">
            <v>3937</v>
          </cell>
          <cell r="F588">
            <v>291</v>
          </cell>
          <cell r="G588" t="str">
            <v>D</v>
          </cell>
          <cell r="R588">
            <v>0</v>
          </cell>
          <cell r="X588">
            <v>1</v>
          </cell>
        </row>
        <row r="589">
          <cell r="C589" t="str">
            <v>PADILLA</v>
          </cell>
          <cell r="D589" t="str">
            <v>CAUCA</v>
          </cell>
          <cell r="E589">
            <v>3927</v>
          </cell>
          <cell r="F589">
            <v>171</v>
          </cell>
          <cell r="G589" t="str">
            <v>D</v>
          </cell>
          <cell r="R589">
            <v>0</v>
          </cell>
        </row>
        <row r="590">
          <cell r="C590" t="str">
            <v>SAN PABLO</v>
          </cell>
          <cell r="D590" t="str">
            <v>NARIÑO</v>
          </cell>
          <cell r="E590">
            <v>3891</v>
          </cell>
          <cell r="F590">
            <v>275</v>
          </cell>
          <cell r="G590" t="str">
            <v>D</v>
          </cell>
          <cell r="R590">
            <v>0</v>
          </cell>
          <cell r="X590">
            <v>2</v>
          </cell>
        </row>
        <row r="591">
          <cell r="C591" t="str">
            <v>LEJANIAS</v>
          </cell>
          <cell r="D591" t="str">
            <v>META</v>
          </cell>
          <cell r="E591">
            <v>3884</v>
          </cell>
          <cell r="F591">
            <v>317</v>
          </cell>
          <cell r="G591" t="str">
            <v>E</v>
          </cell>
          <cell r="R591">
            <v>0</v>
          </cell>
          <cell r="X591">
            <v>1</v>
          </cell>
        </row>
        <row r="592">
          <cell r="C592" t="str">
            <v>OTANCHE</v>
          </cell>
          <cell r="D592" t="str">
            <v>BOYACA</v>
          </cell>
          <cell r="E592">
            <v>3859</v>
          </cell>
          <cell r="F592">
            <v>288</v>
          </cell>
          <cell r="G592" t="str">
            <v>E</v>
          </cell>
          <cell r="R592">
            <v>0</v>
          </cell>
          <cell r="X592">
            <v>1</v>
          </cell>
        </row>
        <row r="593">
          <cell r="C593" t="str">
            <v>ANOLAIMA</v>
          </cell>
          <cell r="D593" t="str">
            <v>CUNDINAMARCA</v>
          </cell>
          <cell r="E593">
            <v>3853</v>
          </cell>
          <cell r="F593">
            <v>364</v>
          </cell>
          <cell r="G593" t="str">
            <v>F</v>
          </cell>
          <cell r="R593">
            <v>0</v>
          </cell>
          <cell r="X593">
            <v>1</v>
          </cell>
        </row>
        <row r="594">
          <cell r="C594" t="str">
            <v>MISTRATO</v>
          </cell>
          <cell r="D594" t="str">
            <v>RISARALDA</v>
          </cell>
          <cell r="E594">
            <v>3834</v>
          </cell>
          <cell r="F594">
            <v>382</v>
          </cell>
          <cell r="G594" t="str">
            <v>E</v>
          </cell>
          <cell r="R594">
            <v>0</v>
          </cell>
          <cell r="X594">
            <v>1</v>
          </cell>
        </row>
        <row r="595">
          <cell r="C595" t="str">
            <v>VERSALLES</v>
          </cell>
          <cell r="D595" t="str">
            <v>VALLE</v>
          </cell>
          <cell r="E595">
            <v>3831</v>
          </cell>
          <cell r="F595">
            <v>245</v>
          </cell>
          <cell r="G595" t="str">
            <v>E</v>
          </cell>
          <cell r="R595">
            <v>0</v>
          </cell>
          <cell r="X595">
            <v>1</v>
          </cell>
        </row>
        <row r="596">
          <cell r="C596" t="str">
            <v>LA PALMA</v>
          </cell>
          <cell r="D596" t="str">
            <v>CUNDINAMARCA</v>
          </cell>
          <cell r="E596">
            <v>3828</v>
          </cell>
          <cell r="F596">
            <v>319</v>
          </cell>
          <cell r="G596" t="str">
            <v>F</v>
          </cell>
          <cell r="R596">
            <v>0</v>
          </cell>
          <cell r="X596">
            <v>1</v>
          </cell>
        </row>
        <row r="597">
          <cell r="C597" t="str">
            <v>EL TARRA</v>
          </cell>
          <cell r="D597" t="str">
            <v>NORTE DE SANTANDER</v>
          </cell>
          <cell r="E597">
            <v>3811</v>
          </cell>
          <cell r="F597">
            <v>254</v>
          </cell>
          <cell r="G597" t="str">
            <v>D</v>
          </cell>
          <cell r="R597">
            <v>0</v>
          </cell>
        </row>
        <row r="598">
          <cell r="C598" t="str">
            <v>BETANIA</v>
          </cell>
          <cell r="D598" t="str">
            <v>ANTIOQUIA</v>
          </cell>
          <cell r="E598">
            <v>3793</v>
          </cell>
          <cell r="F598">
            <v>252</v>
          </cell>
          <cell r="G598" t="str">
            <v>D</v>
          </cell>
          <cell r="R598">
            <v>0</v>
          </cell>
          <cell r="X598">
            <v>1</v>
          </cell>
        </row>
        <row r="599">
          <cell r="C599" t="str">
            <v>BARAYA</v>
          </cell>
          <cell r="D599" t="str">
            <v>HUILA</v>
          </cell>
          <cell r="E599">
            <v>3787</v>
          </cell>
          <cell r="F599">
            <v>204</v>
          </cell>
          <cell r="G599" t="str">
            <v>E</v>
          </cell>
          <cell r="R599">
            <v>0</v>
          </cell>
          <cell r="X599">
            <v>1</v>
          </cell>
        </row>
        <row r="600">
          <cell r="C600" t="str">
            <v>EL CARMEN DE ATRATO</v>
          </cell>
          <cell r="D600" t="str">
            <v>CHOCO</v>
          </cell>
          <cell r="E600">
            <v>3764</v>
          </cell>
          <cell r="F600">
            <v>0</v>
          </cell>
          <cell r="G600" t="str">
            <v>E</v>
          </cell>
          <cell r="R600">
            <v>0</v>
          </cell>
        </row>
        <row r="601">
          <cell r="C601" t="str">
            <v>SAN BERNARDO</v>
          </cell>
          <cell r="D601" t="str">
            <v>CUNDINAMARCA</v>
          </cell>
          <cell r="E601">
            <v>3759</v>
          </cell>
          <cell r="F601">
            <v>347</v>
          </cell>
          <cell r="G601" t="str">
            <v>D</v>
          </cell>
          <cell r="R601">
            <v>0</v>
          </cell>
          <cell r="X601">
            <v>1</v>
          </cell>
        </row>
        <row r="602">
          <cell r="C602" t="str">
            <v>LA ARGENTINA</v>
          </cell>
          <cell r="D602" t="str">
            <v>HUILA</v>
          </cell>
          <cell r="E602">
            <v>3728</v>
          </cell>
          <cell r="F602">
            <v>272</v>
          </cell>
          <cell r="G602" t="str">
            <v>E</v>
          </cell>
          <cell r="R602">
            <v>0</v>
          </cell>
          <cell r="X602">
            <v>1</v>
          </cell>
        </row>
        <row r="603">
          <cell r="C603" t="str">
            <v>LA MONTAÑITA</v>
          </cell>
          <cell r="D603" t="str">
            <v>CAQUETA</v>
          </cell>
          <cell r="E603">
            <v>3722</v>
          </cell>
          <cell r="F603">
            <v>90</v>
          </cell>
          <cell r="G603" t="str">
            <v>D</v>
          </cell>
          <cell r="R603">
            <v>0</v>
          </cell>
          <cell r="X603">
            <v>1</v>
          </cell>
        </row>
        <row r="604">
          <cell r="C604" t="str">
            <v>CERTEGUI</v>
          </cell>
          <cell r="D604" t="str">
            <v>CHOCO</v>
          </cell>
          <cell r="E604">
            <v>3719</v>
          </cell>
          <cell r="F604">
            <v>0</v>
          </cell>
          <cell r="G604" t="str">
            <v>A</v>
          </cell>
          <cell r="R604">
            <v>0</v>
          </cell>
        </row>
        <row r="605">
          <cell r="C605" t="str">
            <v>EL PASO</v>
          </cell>
          <cell r="D605" t="str">
            <v>CESAR</v>
          </cell>
          <cell r="E605">
            <v>3718</v>
          </cell>
          <cell r="F605">
            <v>74</v>
          </cell>
          <cell r="G605" t="str">
            <v>D</v>
          </cell>
          <cell r="R605">
            <v>0</v>
          </cell>
        </row>
        <row r="606">
          <cell r="C606" t="str">
            <v>LA MACARENA</v>
          </cell>
          <cell r="D606" t="str">
            <v>META</v>
          </cell>
          <cell r="E606">
            <v>3703</v>
          </cell>
          <cell r="F606">
            <v>219</v>
          </cell>
          <cell r="G606" t="str">
            <v>D</v>
          </cell>
          <cell r="R606">
            <v>0</v>
          </cell>
          <cell r="X606">
            <v>1</v>
          </cell>
        </row>
        <row r="607">
          <cell r="C607" t="str">
            <v>PIJAO</v>
          </cell>
          <cell r="D607" t="str">
            <v>QUINDIO</v>
          </cell>
          <cell r="E607">
            <v>3686</v>
          </cell>
          <cell r="F607">
            <v>281</v>
          </cell>
          <cell r="G607" t="str">
            <v>D</v>
          </cell>
          <cell r="R607">
            <v>0</v>
          </cell>
        </row>
        <row r="608">
          <cell r="C608" t="str">
            <v>SAN LUIS</v>
          </cell>
          <cell r="D608" t="str">
            <v>TOLIMA</v>
          </cell>
          <cell r="E608">
            <v>3663</v>
          </cell>
          <cell r="F608">
            <v>145</v>
          </cell>
          <cell r="G608" t="str">
            <v>F</v>
          </cell>
          <cell r="R608">
            <v>0</v>
          </cell>
        </row>
        <row r="609">
          <cell r="C609" t="str">
            <v>UNE</v>
          </cell>
          <cell r="D609" t="str">
            <v>CUNDINAMARCA</v>
          </cell>
          <cell r="E609">
            <v>3660</v>
          </cell>
          <cell r="F609">
            <v>277</v>
          </cell>
          <cell r="G609" t="str">
            <v>E</v>
          </cell>
          <cell r="R609">
            <v>0</v>
          </cell>
          <cell r="X609">
            <v>2</v>
          </cell>
        </row>
        <row r="610">
          <cell r="C610" t="str">
            <v>EL ROBLE</v>
          </cell>
          <cell r="D610" t="str">
            <v>SUCRE</v>
          </cell>
          <cell r="E610">
            <v>3659</v>
          </cell>
          <cell r="F610">
            <v>28</v>
          </cell>
          <cell r="G610" t="str">
            <v>B</v>
          </cell>
          <cell r="R610">
            <v>0</v>
          </cell>
        </row>
        <row r="611">
          <cell r="C611" t="str">
            <v>GUATICA</v>
          </cell>
          <cell r="D611" t="str">
            <v>RISARALDA</v>
          </cell>
          <cell r="E611">
            <v>3644</v>
          </cell>
          <cell r="F611">
            <v>216</v>
          </cell>
          <cell r="G611" t="str">
            <v>E</v>
          </cell>
          <cell r="R611">
            <v>0</v>
          </cell>
          <cell r="X611">
            <v>1</v>
          </cell>
        </row>
        <row r="612">
          <cell r="C612" t="str">
            <v>BOLIVAR</v>
          </cell>
          <cell r="D612" t="str">
            <v>VALLE</v>
          </cell>
          <cell r="E612">
            <v>3621</v>
          </cell>
          <cell r="F612">
            <v>117</v>
          </cell>
          <cell r="G612" t="str">
            <v>E</v>
          </cell>
          <cell r="R612">
            <v>0</v>
          </cell>
          <cell r="X612">
            <v>1</v>
          </cell>
        </row>
        <row r="613">
          <cell r="C613" t="str">
            <v>EL ROSARIO</v>
          </cell>
          <cell r="D613" t="str">
            <v>NARIÑO</v>
          </cell>
          <cell r="E613">
            <v>3608</v>
          </cell>
          <cell r="F613">
            <v>48</v>
          </cell>
          <cell r="G613" t="str">
            <v>D</v>
          </cell>
          <cell r="R613">
            <v>0</v>
          </cell>
        </row>
        <row r="614">
          <cell r="C614" t="str">
            <v>TAMINANGO</v>
          </cell>
          <cell r="D614" t="str">
            <v>NARIÑO</v>
          </cell>
          <cell r="E614">
            <v>3597</v>
          </cell>
          <cell r="F614">
            <v>80</v>
          </cell>
          <cell r="G614" t="str">
            <v>E</v>
          </cell>
          <cell r="R614">
            <v>0</v>
          </cell>
        </row>
        <row r="615">
          <cell r="C615" t="str">
            <v>VICTORIA</v>
          </cell>
          <cell r="D615" t="str">
            <v>CALDAS</v>
          </cell>
          <cell r="E615">
            <v>3592</v>
          </cell>
          <cell r="F615">
            <v>187</v>
          </cell>
          <cell r="G615" t="str">
            <v>E</v>
          </cell>
          <cell r="R615">
            <v>0</v>
          </cell>
          <cell r="X615">
            <v>1</v>
          </cell>
        </row>
        <row r="616">
          <cell r="C616" t="str">
            <v>SALAZAR</v>
          </cell>
          <cell r="D616" t="str">
            <v>NORTE DE SANTANDER</v>
          </cell>
          <cell r="E616">
            <v>3579</v>
          </cell>
          <cell r="F616">
            <v>210</v>
          </cell>
          <cell r="G616" t="str">
            <v>D</v>
          </cell>
          <cell r="R616">
            <v>0</v>
          </cell>
        </row>
        <row r="617">
          <cell r="C617" t="str">
            <v>SOCHA</v>
          </cell>
          <cell r="D617" t="str">
            <v>BOYACA</v>
          </cell>
          <cell r="E617">
            <v>3548</v>
          </cell>
          <cell r="F617">
            <v>378</v>
          </cell>
          <cell r="G617" t="str">
            <v>E</v>
          </cell>
          <cell r="R617">
            <v>0</v>
          </cell>
          <cell r="X617">
            <v>1</v>
          </cell>
        </row>
        <row r="618">
          <cell r="C618" t="str">
            <v>GUACHETA</v>
          </cell>
          <cell r="D618" t="str">
            <v>CUNDINAMARCA</v>
          </cell>
          <cell r="E618">
            <v>3546</v>
          </cell>
          <cell r="F618">
            <v>182</v>
          </cell>
          <cell r="G618" t="str">
            <v>F</v>
          </cell>
          <cell r="R618">
            <v>0</v>
          </cell>
          <cell r="X618">
            <v>1</v>
          </cell>
        </row>
        <row r="619">
          <cell r="C619" t="str">
            <v>PUERTO ESCONDIDO</v>
          </cell>
          <cell r="D619" t="str">
            <v>CORDOBA</v>
          </cell>
          <cell r="E619">
            <v>3539</v>
          </cell>
          <cell r="F619">
            <v>114</v>
          </cell>
          <cell r="G619" t="str">
            <v>C</v>
          </cell>
          <cell r="R619">
            <v>0</v>
          </cell>
        </row>
        <row r="620">
          <cell r="C620" t="str">
            <v>PORE</v>
          </cell>
          <cell r="D620" t="str">
            <v>CASANARE</v>
          </cell>
          <cell r="E620">
            <v>3538</v>
          </cell>
          <cell r="F620">
            <v>222</v>
          </cell>
          <cell r="G620" t="str">
            <v>D</v>
          </cell>
          <cell r="R620">
            <v>0</v>
          </cell>
        </row>
        <row r="621">
          <cell r="C621" t="str">
            <v>SAN JERONIMO</v>
          </cell>
          <cell r="D621" t="str">
            <v>ANTIOQUIA</v>
          </cell>
          <cell r="E621">
            <v>3526</v>
          </cell>
          <cell r="F621">
            <v>234</v>
          </cell>
          <cell r="G621" t="str">
            <v>F</v>
          </cell>
          <cell r="R621">
            <v>0</v>
          </cell>
          <cell r="X621">
            <v>1</v>
          </cell>
        </row>
        <row r="622">
          <cell r="C622" t="str">
            <v>HATO COROZAL</v>
          </cell>
          <cell r="D622" t="str">
            <v>CASANARE</v>
          </cell>
          <cell r="E622">
            <v>3512</v>
          </cell>
          <cell r="F622">
            <v>201</v>
          </cell>
          <cell r="G622" t="str">
            <v>D</v>
          </cell>
          <cell r="R622">
            <v>0</v>
          </cell>
        </row>
        <row r="623">
          <cell r="C623" t="str">
            <v>MOGOTES</v>
          </cell>
          <cell r="D623" t="str">
            <v>SANTANDER</v>
          </cell>
          <cell r="E623">
            <v>3500</v>
          </cell>
          <cell r="F623">
            <v>253</v>
          </cell>
          <cell r="G623" t="str">
            <v>F</v>
          </cell>
          <cell r="R623">
            <v>0</v>
          </cell>
        </row>
        <row r="624">
          <cell r="C624" t="str">
            <v>VILLANUEVA</v>
          </cell>
          <cell r="D624" t="str">
            <v>SANTANDER</v>
          </cell>
          <cell r="E624">
            <v>3477</v>
          </cell>
          <cell r="F624">
            <v>637</v>
          </cell>
          <cell r="G624" t="str">
            <v>E</v>
          </cell>
          <cell r="R624">
            <v>0</v>
          </cell>
          <cell r="X624">
            <v>1</v>
          </cell>
        </row>
        <row r="625">
          <cell r="C625" t="str">
            <v>CANALETE</v>
          </cell>
          <cell r="D625" t="str">
            <v>CORDOBA</v>
          </cell>
          <cell r="E625">
            <v>3471</v>
          </cell>
          <cell r="F625">
            <v>136</v>
          </cell>
          <cell r="G625" t="str">
            <v>B</v>
          </cell>
          <cell r="R625">
            <v>0</v>
          </cell>
        </row>
        <row r="626">
          <cell r="C626" t="str">
            <v>SAN JUAN DE ARAMA</v>
          </cell>
          <cell r="D626" t="str">
            <v>META</v>
          </cell>
          <cell r="E626">
            <v>3446</v>
          </cell>
          <cell r="F626">
            <v>222</v>
          </cell>
          <cell r="G626" t="str">
            <v>E</v>
          </cell>
          <cell r="R626">
            <v>0</v>
          </cell>
          <cell r="X626">
            <v>1</v>
          </cell>
        </row>
        <row r="627">
          <cell r="C627" t="str">
            <v>ANDAGOYA</v>
          </cell>
          <cell r="D627" t="str">
            <v>CHOCO</v>
          </cell>
          <cell r="E627">
            <v>3440</v>
          </cell>
          <cell r="F627">
            <v>0</v>
          </cell>
          <cell r="G627" t="str">
            <v>A</v>
          </cell>
          <cell r="R627">
            <v>0</v>
          </cell>
        </row>
        <row r="628">
          <cell r="C628" t="str">
            <v>COTORRA</v>
          </cell>
          <cell r="D628" t="str">
            <v>CORDOBA</v>
          </cell>
          <cell r="E628">
            <v>3431</v>
          </cell>
          <cell r="F628">
            <v>130</v>
          </cell>
          <cell r="G628" t="str">
            <v>C</v>
          </cell>
          <cell r="R628">
            <v>0</v>
          </cell>
        </row>
        <row r="629">
          <cell r="C629" t="str">
            <v>PRADO</v>
          </cell>
          <cell r="D629" t="str">
            <v>TOLIMA</v>
          </cell>
          <cell r="E629">
            <v>3426</v>
          </cell>
          <cell r="F629">
            <v>231</v>
          </cell>
          <cell r="G629" t="str">
            <v>F</v>
          </cell>
          <cell r="R629">
            <v>0</v>
          </cell>
        </row>
        <row r="630">
          <cell r="C630" t="str">
            <v>ACHI</v>
          </cell>
          <cell r="D630" t="str">
            <v>BOLIVAR</v>
          </cell>
          <cell r="E630">
            <v>3404</v>
          </cell>
          <cell r="F630">
            <v>235</v>
          </cell>
          <cell r="G630" t="str">
            <v>D</v>
          </cell>
          <cell r="R630">
            <v>0</v>
          </cell>
        </row>
        <row r="631">
          <cell r="C631" t="str">
            <v>VILLAHERMOSA</v>
          </cell>
          <cell r="D631" t="str">
            <v>TOLIMA</v>
          </cell>
          <cell r="E631">
            <v>3399</v>
          </cell>
          <cell r="F631">
            <v>288</v>
          </cell>
          <cell r="G631" t="str">
            <v>E</v>
          </cell>
          <cell r="R631">
            <v>0</v>
          </cell>
        </row>
        <row r="632">
          <cell r="C632" t="str">
            <v>CHITAGA</v>
          </cell>
          <cell r="D632" t="str">
            <v>NORTE DE SANTANDER</v>
          </cell>
          <cell r="E632">
            <v>3395</v>
          </cell>
          <cell r="F632">
            <v>245</v>
          </cell>
          <cell r="G632" t="str">
            <v>D</v>
          </cell>
          <cell r="R632">
            <v>0</v>
          </cell>
        </row>
        <row r="633">
          <cell r="C633" t="str">
            <v>LOS CORDOBAS</v>
          </cell>
          <cell r="D633" t="str">
            <v>CORDOBA</v>
          </cell>
          <cell r="E633">
            <v>3393</v>
          </cell>
          <cell r="F633">
            <v>92</v>
          </cell>
          <cell r="G633" t="str">
            <v>B</v>
          </cell>
          <cell r="R633">
            <v>0</v>
          </cell>
        </row>
        <row r="634">
          <cell r="C634" t="str">
            <v>CHOACHI</v>
          </cell>
          <cell r="D634" t="str">
            <v>CUNDINAMARCA</v>
          </cell>
          <cell r="E634">
            <v>3373</v>
          </cell>
          <cell r="F634">
            <v>209</v>
          </cell>
          <cell r="G634" t="str">
            <v>F</v>
          </cell>
          <cell r="R634">
            <v>0</v>
          </cell>
          <cell r="X634">
            <v>1</v>
          </cell>
        </row>
        <row r="635">
          <cell r="C635" t="str">
            <v>CORDOBA</v>
          </cell>
          <cell r="D635" t="str">
            <v>BOLIVAR</v>
          </cell>
          <cell r="E635">
            <v>3372</v>
          </cell>
          <cell r="F635">
            <v>140</v>
          </cell>
          <cell r="G635" t="str">
            <v>D</v>
          </cell>
          <cell r="R635">
            <v>0</v>
          </cell>
        </row>
        <row r="636">
          <cell r="C636" t="str">
            <v>EL RETORNO</v>
          </cell>
          <cell r="D636" t="str">
            <v>GUAVIARE</v>
          </cell>
          <cell r="E636">
            <v>3364</v>
          </cell>
          <cell r="F636">
            <v>0</v>
          </cell>
          <cell r="G636" t="str">
            <v>C</v>
          </cell>
          <cell r="R636">
            <v>0</v>
          </cell>
        </row>
        <row r="637">
          <cell r="C637" t="str">
            <v>TOCA</v>
          </cell>
          <cell r="D637" t="str">
            <v>BOYACA</v>
          </cell>
          <cell r="E637">
            <v>3353</v>
          </cell>
          <cell r="F637">
            <v>342</v>
          </cell>
          <cell r="G637" t="str">
            <v>D</v>
          </cell>
          <cell r="R637">
            <v>0</v>
          </cell>
          <cell r="X637">
            <v>1</v>
          </cell>
        </row>
        <row r="638">
          <cell r="C638" t="str">
            <v>GUAITARILLA</v>
          </cell>
          <cell r="D638" t="str">
            <v>NARIÑO</v>
          </cell>
          <cell r="E638">
            <v>3352</v>
          </cell>
          <cell r="F638">
            <v>559</v>
          </cell>
          <cell r="G638" t="str">
            <v>D</v>
          </cell>
          <cell r="R638">
            <v>0</v>
          </cell>
          <cell r="X638">
            <v>1</v>
          </cell>
        </row>
        <row r="639">
          <cell r="C639" t="str">
            <v>MEDINA</v>
          </cell>
          <cell r="D639" t="str">
            <v>CUNDINAMARCA</v>
          </cell>
          <cell r="E639">
            <v>3347</v>
          </cell>
          <cell r="F639">
            <v>227</v>
          </cell>
          <cell r="G639" t="str">
            <v>E</v>
          </cell>
          <cell r="R639">
            <v>0</v>
          </cell>
          <cell r="X639">
            <v>1</v>
          </cell>
        </row>
        <row r="640">
          <cell r="C640" t="str">
            <v>CASTILLA LA NUEVA</v>
          </cell>
          <cell r="D640" t="str">
            <v>META</v>
          </cell>
          <cell r="E640">
            <v>3341</v>
          </cell>
          <cell r="F640">
            <v>153</v>
          </cell>
          <cell r="G640" t="str">
            <v>F</v>
          </cell>
          <cell r="R640">
            <v>0</v>
          </cell>
          <cell r="X640">
            <v>1</v>
          </cell>
        </row>
        <row r="641">
          <cell r="C641" t="str">
            <v>SUAZA</v>
          </cell>
          <cell r="D641" t="str">
            <v>HUILA</v>
          </cell>
          <cell r="E641">
            <v>3327</v>
          </cell>
          <cell r="F641">
            <v>215</v>
          </cell>
          <cell r="G641" t="str">
            <v>F</v>
          </cell>
          <cell r="R641">
            <v>0</v>
          </cell>
          <cell r="X641">
            <v>1</v>
          </cell>
        </row>
        <row r="642">
          <cell r="C642" t="str">
            <v>CURITI</v>
          </cell>
          <cell r="D642" t="str">
            <v>SANTANDER</v>
          </cell>
          <cell r="E642">
            <v>3325</v>
          </cell>
          <cell r="F642">
            <v>286</v>
          </cell>
          <cell r="G642" t="str">
            <v>F</v>
          </cell>
          <cell r="R642">
            <v>1</v>
          </cell>
          <cell r="X642">
            <v>1</v>
          </cell>
        </row>
        <row r="643">
          <cell r="C643" t="str">
            <v>LEIVA</v>
          </cell>
          <cell r="D643" t="str">
            <v>NARIÑO</v>
          </cell>
          <cell r="E643">
            <v>3302</v>
          </cell>
          <cell r="F643">
            <v>102</v>
          </cell>
          <cell r="G643" t="str">
            <v>C</v>
          </cell>
          <cell r="R643">
            <v>0</v>
          </cell>
        </row>
        <row r="644">
          <cell r="C644" t="str">
            <v>ICONONZO</v>
          </cell>
          <cell r="D644" t="str">
            <v>TOLIMA</v>
          </cell>
          <cell r="E644">
            <v>3293</v>
          </cell>
          <cell r="F644">
            <v>215</v>
          </cell>
          <cell r="G644" t="str">
            <v>E</v>
          </cell>
          <cell r="R644">
            <v>0</v>
          </cell>
          <cell r="X644">
            <v>1</v>
          </cell>
        </row>
        <row r="645">
          <cell r="C645" t="str">
            <v>BOCAS DE SATINGA</v>
          </cell>
          <cell r="D645" t="str">
            <v>NARIÑO</v>
          </cell>
          <cell r="E645">
            <v>3280</v>
          </cell>
          <cell r="F645">
            <v>2</v>
          </cell>
          <cell r="G645" t="str">
            <v>C</v>
          </cell>
          <cell r="R645">
            <v>0</v>
          </cell>
          <cell r="X645">
            <v>1</v>
          </cell>
        </row>
        <row r="646">
          <cell r="C646" t="str">
            <v>LA CELIA</v>
          </cell>
          <cell r="D646" t="str">
            <v>RISARALDA</v>
          </cell>
          <cell r="E646">
            <v>3267</v>
          </cell>
          <cell r="F646">
            <v>252</v>
          </cell>
          <cell r="G646" t="str">
            <v>E</v>
          </cell>
          <cell r="R646">
            <v>0</v>
          </cell>
          <cell r="X646">
            <v>1</v>
          </cell>
        </row>
        <row r="647">
          <cell r="C647" t="str">
            <v>CANTAGALLO</v>
          </cell>
          <cell r="D647" t="str">
            <v>BOLIVAR</v>
          </cell>
          <cell r="E647">
            <v>3258</v>
          </cell>
          <cell r="F647">
            <v>192</v>
          </cell>
          <cell r="G647" t="str">
            <v>A</v>
          </cell>
          <cell r="R647">
            <v>0</v>
          </cell>
        </row>
        <row r="648">
          <cell r="C648" t="str">
            <v>YACOPI</v>
          </cell>
          <cell r="D648" t="str">
            <v>CUNDINAMARCA</v>
          </cell>
          <cell r="E648">
            <v>3245</v>
          </cell>
          <cell r="F648">
            <v>170</v>
          </cell>
          <cell r="G648" t="str">
            <v>E</v>
          </cell>
          <cell r="R648">
            <v>0</v>
          </cell>
          <cell r="X648">
            <v>1</v>
          </cell>
        </row>
        <row r="649">
          <cell r="C649" t="str">
            <v>NARIÑO</v>
          </cell>
          <cell r="D649" t="str">
            <v>NARIÑO</v>
          </cell>
          <cell r="E649">
            <v>3215</v>
          </cell>
          <cell r="F649">
            <v>135</v>
          </cell>
          <cell r="G649" t="str">
            <v>B</v>
          </cell>
          <cell r="R649">
            <v>0</v>
          </cell>
          <cell r="X649">
            <v>1</v>
          </cell>
        </row>
        <row r="650">
          <cell r="C650" t="str">
            <v>SAN CARLOS DE GUAROA</v>
          </cell>
          <cell r="D650" t="str">
            <v>META</v>
          </cell>
          <cell r="E650">
            <v>3211</v>
          </cell>
          <cell r="F650">
            <v>155</v>
          </cell>
          <cell r="G650" t="str">
            <v>D</v>
          </cell>
          <cell r="R650">
            <v>0</v>
          </cell>
        </row>
        <row r="651">
          <cell r="C651" t="str">
            <v>VALPARAISO</v>
          </cell>
          <cell r="D651" t="str">
            <v>ANTIOQUIA</v>
          </cell>
          <cell r="E651">
            <v>3209</v>
          </cell>
          <cell r="F651">
            <v>180</v>
          </cell>
          <cell r="G651" t="str">
            <v>E</v>
          </cell>
          <cell r="R651">
            <v>0</v>
          </cell>
        </row>
        <row r="652">
          <cell r="C652" t="str">
            <v>DOLORES</v>
          </cell>
          <cell r="D652" t="str">
            <v>TOLIMA</v>
          </cell>
          <cell r="E652">
            <v>3206</v>
          </cell>
          <cell r="F652">
            <v>257</v>
          </cell>
          <cell r="G652" t="str">
            <v>E</v>
          </cell>
          <cell r="R652">
            <v>0</v>
          </cell>
        </row>
        <row r="653">
          <cell r="C653" t="str">
            <v>GACHETA</v>
          </cell>
          <cell r="D653" t="str">
            <v>CUNDINAMARCA</v>
          </cell>
          <cell r="E653">
            <v>3186</v>
          </cell>
          <cell r="F653">
            <v>386</v>
          </cell>
          <cell r="G653" t="str">
            <v>F</v>
          </cell>
          <cell r="R653">
            <v>0</v>
          </cell>
          <cell r="X653">
            <v>1</v>
          </cell>
        </row>
        <row r="654">
          <cell r="C654" t="str">
            <v>CAPITANEJO</v>
          </cell>
          <cell r="D654" t="str">
            <v>SANTANDER</v>
          </cell>
          <cell r="E654">
            <v>3184</v>
          </cell>
          <cell r="F654">
            <v>293</v>
          </cell>
          <cell r="G654" t="str">
            <v>E</v>
          </cell>
          <cell r="R654">
            <v>0</v>
          </cell>
          <cell r="X654">
            <v>1</v>
          </cell>
        </row>
        <row r="655">
          <cell r="C655" t="str">
            <v>TARSO</v>
          </cell>
          <cell r="D655" t="str">
            <v>ANTIOQUIA</v>
          </cell>
          <cell r="E655">
            <v>3174</v>
          </cell>
          <cell r="F655">
            <v>134</v>
          </cell>
          <cell r="G655" t="str">
            <v>D</v>
          </cell>
          <cell r="R655">
            <v>0</v>
          </cell>
          <cell r="X655">
            <v>1</v>
          </cell>
        </row>
        <row r="656">
          <cell r="C656" t="str">
            <v>UNGUIA</v>
          </cell>
          <cell r="D656" t="str">
            <v>CHOCO</v>
          </cell>
          <cell r="E656">
            <v>3172</v>
          </cell>
          <cell r="F656">
            <v>0</v>
          </cell>
          <cell r="G656" t="str">
            <v>C</v>
          </cell>
          <cell r="R656">
            <v>0</v>
          </cell>
        </row>
        <row r="657">
          <cell r="C657" t="str">
            <v>SAN BERNARDO</v>
          </cell>
          <cell r="D657" t="str">
            <v>NARIÑO</v>
          </cell>
          <cell r="E657">
            <v>3124</v>
          </cell>
          <cell r="F657">
            <v>86</v>
          </cell>
          <cell r="G657" t="str">
            <v>B</v>
          </cell>
          <cell r="R657">
            <v>0</v>
          </cell>
        </row>
        <row r="658">
          <cell r="C658" t="str">
            <v>CACHIPAY</v>
          </cell>
          <cell r="D658" t="str">
            <v>CUNDINAMARCA</v>
          </cell>
          <cell r="E658">
            <v>3118</v>
          </cell>
          <cell r="F658">
            <v>358</v>
          </cell>
          <cell r="G658" t="str">
            <v>F</v>
          </cell>
          <cell r="R658">
            <v>0</v>
          </cell>
          <cell r="X658">
            <v>1</v>
          </cell>
        </row>
        <row r="659">
          <cell r="C659" t="str">
            <v>DIBULLA </v>
          </cell>
          <cell r="D659" t="str">
            <v>LA GUAJIRA</v>
          </cell>
          <cell r="E659">
            <v>3117</v>
          </cell>
          <cell r="F659">
            <v>115</v>
          </cell>
          <cell r="G659" t="str">
            <v>E</v>
          </cell>
          <cell r="R659">
            <v>0</v>
          </cell>
        </row>
        <row r="660">
          <cell r="C660" t="str">
            <v>LANDAZURI</v>
          </cell>
          <cell r="D660" t="str">
            <v>SANTANDER</v>
          </cell>
          <cell r="E660">
            <v>3116</v>
          </cell>
          <cell r="F660">
            <v>297</v>
          </cell>
          <cell r="G660" t="str">
            <v>F</v>
          </cell>
          <cell r="R660">
            <v>0</v>
          </cell>
          <cell r="X660">
            <v>1</v>
          </cell>
        </row>
        <row r="661">
          <cell r="C661" t="str">
            <v>COVEÑAS</v>
          </cell>
          <cell r="D661" t="str">
            <v>SUCRE</v>
          </cell>
          <cell r="E661">
            <v>3113</v>
          </cell>
          <cell r="F661">
            <v>311</v>
          </cell>
          <cell r="G661" t="str">
            <v>E</v>
          </cell>
          <cell r="R661">
            <v>1</v>
          </cell>
          <cell r="X661">
            <v>1</v>
          </cell>
        </row>
        <row r="662">
          <cell r="C662" t="str">
            <v>PUERTO LLERAS</v>
          </cell>
          <cell r="D662" t="str">
            <v>META</v>
          </cell>
          <cell r="E662">
            <v>3107</v>
          </cell>
          <cell r="F662">
            <v>267</v>
          </cell>
          <cell r="G662" t="str">
            <v>F</v>
          </cell>
          <cell r="R662">
            <v>0</v>
          </cell>
          <cell r="X662">
            <v>1</v>
          </cell>
        </row>
        <row r="663">
          <cell r="C663" t="str">
            <v>APULO</v>
          </cell>
          <cell r="D663" t="str">
            <v>CUNDINAMARCA</v>
          </cell>
          <cell r="E663">
            <v>3066</v>
          </cell>
          <cell r="F663">
            <v>265</v>
          </cell>
          <cell r="G663" t="str">
            <v>E</v>
          </cell>
          <cell r="R663">
            <v>0</v>
          </cell>
          <cell r="X663">
            <v>1</v>
          </cell>
        </row>
        <row r="664">
          <cell r="C664" t="str">
            <v>MESETAS</v>
          </cell>
          <cell r="D664" t="str">
            <v>META</v>
          </cell>
          <cell r="E664">
            <v>3061</v>
          </cell>
          <cell r="F664">
            <v>272</v>
          </cell>
          <cell r="G664" t="str">
            <v>E</v>
          </cell>
          <cell r="R664">
            <v>0</v>
          </cell>
          <cell r="X664">
            <v>1</v>
          </cell>
        </row>
        <row r="665">
          <cell r="C665" t="str">
            <v>HISPANIA</v>
          </cell>
          <cell r="D665" t="str">
            <v>ANTIOQUIA</v>
          </cell>
          <cell r="E665">
            <v>3047</v>
          </cell>
          <cell r="F665">
            <v>175</v>
          </cell>
          <cell r="G665" t="str">
            <v>D</v>
          </cell>
          <cell r="R665">
            <v>0</v>
          </cell>
        </row>
        <row r="666">
          <cell r="C666" t="str">
            <v>CUBARRAL</v>
          </cell>
          <cell r="D666" t="str">
            <v>META</v>
          </cell>
          <cell r="E666">
            <v>3036</v>
          </cell>
          <cell r="F666">
            <v>204</v>
          </cell>
          <cell r="G666" t="str">
            <v>D</v>
          </cell>
          <cell r="R666">
            <v>0</v>
          </cell>
          <cell r="X666">
            <v>1</v>
          </cell>
        </row>
        <row r="667">
          <cell r="C667" t="str">
            <v>CAROLINA</v>
          </cell>
          <cell r="D667" t="str">
            <v>ANTIOQUIA</v>
          </cell>
          <cell r="E667">
            <v>3020</v>
          </cell>
          <cell r="F667">
            <v>139</v>
          </cell>
          <cell r="G667" t="str">
            <v>C</v>
          </cell>
          <cell r="R667">
            <v>0</v>
          </cell>
        </row>
        <row r="668">
          <cell r="C668" t="str">
            <v>PAZ DEL RIO</v>
          </cell>
          <cell r="D668" t="str">
            <v>BOYACA</v>
          </cell>
          <cell r="E668">
            <v>3017</v>
          </cell>
          <cell r="F668">
            <v>261</v>
          </cell>
          <cell r="G668" t="str">
            <v>E</v>
          </cell>
          <cell r="R668">
            <v>0</v>
          </cell>
          <cell r="X668">
            <v>1</v>
          </cell>
        </row>
        <row r="669">
          <cell r="C669" t="str">
            <v>FORTUL</v>
          </cell>
          <cell r="D669" t="str">
            <v>ARAUCA</v>
          </cell>
          <cell r="E669">
            <v>3010</v>
          </cell>
          <cell r="F669">
            <v>163</v>
          </cell>
          <cell r="G669" t="str">
            <v>D</v>
          </cell>
          <cell r="R669">
            <v>0</v>
          </cell>
        </row>
        <row r="670">
          <cell r="C670" t="str">
            <v>PUERTO SOLITA</v>
          </cell>
          <cell r="D670" t="str">
            <v>CAQUETA</v>
          </cell>
          <cell r="E670">
            <v>3000</v>
          </cell>
          <cell r="F670">
            <v>85</v>
          </cell>
          <cell r="G670" t="str">
            <v>F</v>
          </cell>
          <cell r="R670">
            <v>0</v>
          </cell>
        </row>
        <row r="671">
          <cell r="C671" t="str">
            <v>SAN FRANCISCO</v>
          </cell>
          <cell r="D671" t="str">
            <v>PUTUMAYO</v>
          </cell>
          <cell r="E671">
            <v>2998</v>
          </cell>
          <cell r="F671">
            <v>0</v>
          </cell>
          <cell r="G671" t="str">
            <v>B</v>
          </cell>
          <cell r="R671">
            <v>0</v>
          </cell>
        </row>
        <row r="672">
          <cell r="C672" t="str">
            <v>COLOSO</v>
          </cell>
          <cell r="D672" t="str">
            <v>SUCRE</v>
          </cell>
          <cell r="E672">
            <v>2991</v>
          </cell>
          <cell r="F672">
            <v>38</v>
          </cell>
          <cell r="G672" t="str">
            <v>C</v>
          </cell>
          <cell r="R672">
            <v>0</v>
          </cell>
        </row>
        <row r="673">
          <cell r="C673" t="str">
            <v>MACEO</v>
          </cell>
          <cell r="D673" t="str">
            <v>ANTIOQUIA</v>
          </cell>
          <cell r="E673">
            <v>2990</v>
          </cell>
          <cell r="F673">
            <v>199</v>
          </cell>
          <cell r="G673" t="str">
            <v>E</v>
          </cell>
          <cell r="R673">
            <v>0</v>
          </cell>
          <cell r="X673">
            <v>1</v>
          </cell>
        </row>
        <row r="674">
          <cell r="C674" t="str">
            <v>ARGELIA</v>
          </cell>
          <cell r="D674" t="str">
            <v>VALLE</v>
          </cell>
          <cell r="E674">
            <v>2982</v>
          </cell>
          <cell r="F674">
            <v>20</v>
          </cell>
          <cell r="G674" t="str">
            <v>D</v>
          </cell>
          <cell r="R674">
            <v>0</v>
          </cell>
          <cell r="X674">
            <v>1</v>
          </cell>
        </row>
        <row r="675">
          <cell r="C675" t="str">
            <v>VALPARAISO</v>
          </cell>
          <cell r="D675" t="str">
            <v>CAQUETA</v>
          </cell>
          <cell r="E675">
            <v>2958</v>
          </cell>
          <cell r="F675">
            <v>206</v>
          </cell>
          <cell r="G675" t="str">
            <v>E</v>
          </cell>
          <cell r="R675">
            <v>0</v>
          </cell>
        </row>
        <row r="676">
          <cell r="C676" t="str">
            <v>YALI</v>
          </cell>
          <cell r="D676" t="str">
            <v>ANTIOQUIA</v>
          </cell>
          <cell r="E676">
            <v>2948</v>
          </cell>
          <cell r="F676">
            <v>212</v>
          </cell>
          <cell r="G676" t="str">
            <v>D</v>
          </cell>
          <cell r="R676">
            <v>0</v>
          </cell>
        </row>
        <row r="677">
          <cell r="C677" t="str">
            <v>OPORAPA</v>
          </cell>
          <cell r="D677" t="str">
            <v>HUILA</v>
          </cell>
          <cell r="E677">
            <v>2940</v>
          </cell>
          <cell r="F677">
            <v>115</v>
          </cell>
          <cell r="G677" t="str">
            <v>E</v>
          </cell>
          <cell r="R677">
            <v>0</v>
          </cell>
        </row>
        <row r="678">
          <cell r="C678" t="str">
            <v>GRAMALOTE</v>
          </cell>
          <cell r="D678" t="str">
            <v>NORTE DE SANTANDER</v>
          </cell>
          <cell r="E678">
            <v>2934</v>
          </cell>
          <cell r="F678">
            <v>95</v>
          </cell>
          <cell r="G678" t="str">
            <v>D</v>
          </cell>
          <cell r="R678">
            <v>0</v>
          </cell>
        </row>
        <row r="679">
          <cell r="C679" t="str">
            <v>CAIMITO</v>
          </cell>
          <cell r="D679" t="str">
            <v>SUCRE</v>
          </cell>
          <cell r="E679">
            <v>2929</v>
          </cell>
          <cell r="F679">
            <v>106</v>
          </cell>
          <cell r="G679" t="str">
            <v>C</v>
          </cell>
          <cell r="R679">
            <v>0</v>
          </cell>
        </row>
        <row r="680">
          <cell r="C680" t="str">
            <v>CORDOBA</v>
          </cell>
          <cell r="D680" t="str">
            <v>QUINDIO</v>
          </cell>
          <cell r="E680">
            <v>2897</v>
          </cell>
          <cell r="F680">
            <v>150</v>
          </cell>
          <cell r="G680" t="str">
            <v>D</v>
          </cell>
          <cell r="R680">
            <v>0</v>
          </cell>
        </row>
        <row r="681">
          <cell r="C681" t="str">
            <v>CONTRATACION</v>
          </cell>
          <cell r="D681" t="str">
            <v>SANTANDER</v>
          </cell>
          <cell r="E681">
            <v>2890</v>
          </cell>
          <cell r="F681">
            <v>214</v>
          </cell>
          <cell r="G681" t="str">
            <v>F</v>
          </cell>
          <cell r="R681">
            <v>0</v>
          </cell>
          <cell r="X681">
            <v>1</v>
          </cell>
        </row>
        <row r="682">
          <cell r="C682" t="str">
            <v>SAN FRANCISCO</v>
          </cell>
          <cell r="D682" t="str">
            <v>CUNDINAMARCA</v>
          </cell>
          <cell r="E682">
            <v>2851</v>
          </cell>
          <cell r="F682">
            <v>264</v>
          </cell>
          <cell r="G682" t="str">
            <v>E</v>
          </cell>
          <cell r="R682">
            <v>0</v>
          </cell>
          <cell r="X682">
            <v>2</v>
          </cell>
        </row>
        <row r="683">
          <cell r="C683" t="str">
            <v>PUERTO PARRA</v>
          </cell>
          <cell r="D683" t="str">
            <v>SANTANDER</v>
          </cell>
          <cell r="E683">
            <v>2845</v>
          </cell>
          <cell r="F683">
            <v>153</v>
          </cell>
          <cell r="G683" t="str">
            <v>C</v>
          </cell>
          <cell r="R683">
            <v>0</v>
          </cell>
        </row>
        <row r="684">
          <cell r="C684" t="str">
            <v>PUERTO GUZMAN</v>
          </cell>
          <cell r="D684" t="str">
            <v>PUTUMAYO</v>
          </cell>
          <cell r="E684">
            <v>2833</v>
          </cell>
          <cell r="F684">
            <v>0</v>
          </cell>
          <cell r="G684" t="str">
            <v>E</v>
          </cell>
          <cell r="R684">
            <v>0</v>
          </cell>
          <cell r="X684">
            <v>1</v>
          </cell>
        </row>
        <row r="685">
          <cell r="C685" t="str">
            <v>HELICONIA</v>
          </cell>
          <cell r="D685" t="str">
            <v>ANTIOQUIA</v>
          </cell>
          <cell r="E685">
            <v>2828</v>
          </cell>
          <cell r="F685">
            <v>82</v>
          </cell>
          <cell r="G685" t="str">
            <v>D</v>
          </cell>
          <cell r="R685">
            <v>0</v>
          </cell>
        </row>
        <row r="686">
          <cell r="C686" t="str">
            <v>CHIMA</v>
          </cell>
          <cell r="D686" t="str">
            <v>CORDOBA</v>
          </cell>
          <cell r="E686">
            <v>2822</v>
          </cell>
          <cell r="F686">
            <v>42</v>
          </cell>
          <cell r="G686" t="str">
            <v>C</v>
          </cell>
          <cell r="R686">
            <v>0</v>
          </cell>
        </row>
        <row r="687">
          <cell r="C687" t="str">
            <v>EL CAIRO</v>
          </cell>
          <cell r="D687" t="str">
            <v>VALLE</v>
          </cell>
          <cell r="E687">
            <v>2817</v>
          </cell>
          <cell r="F687">
            <v>166</v>
          </cell>
          <cell r="G687" t="str">
            <v>D</v>
          </cell>
          <cell r="R687">
            <v>0</v>
          </cell>
        </row>
        <row r="688">
          <cell r="C688" t="str">
            <v>PUERRES</v>
          </cell>
          <cell r="D688" t="str">
            <v>NARIÑO</v>
          </cell>
          <cell r="E688">
            <v>2811</v>
          </cell>
          <cell r="F688">
            <v>296</v>
          </cell>
          <cell r="G688" t="str">
            <v>D</v>
          </cell>
          <cell r="R688">
            <v>0</v>
          </cell>
        </row>
        <row r="689">
          <cell r="C689" t="str">
            <v>ARGELIA</v>
          </cell>
          <cell r="D689" t="str">
            <v>ANTIOQUIA</v>
          </cell>
          <cell r="E689">
            <v>2810</v>
          </cell>
          <cell r="F689">
            <v>231</v>
          </cell>
          <cell r="G689" t="str">
            <v>F</v>
          </cell>
          <cell r="R689">
            <v>0</v>
          </cell>
        </row>
        <row r="690">
          <cell r="C690" t="str">
            <v>CARACOLI</v>
          </cell>
          <cell r="D690" t="str">
            <v>ANTIOQUIA</v>
          </cell>
          <cell r="E690">
            <v>2804</v>
          </cell>
          <cell r="F690">
            <v>227</v>
          </cell>
          <cell r="G690" t="str">
            <v>D</v>
          </cell>
          <cell r="R690">
            <v>0</v>
          </cell>
          <cell r="X690">
            <v>1</v>
          </cell>
        </row>
        <row r="691">
          <cell r="C691" t="str">
            <v>SAN JUAN DE RIO SECO</v>
          </cell>
          <cell r="D691" t="str">
            <v>CUNDINAMARCA</v>
          </cell>
          <cell r="E691">
            <v>2791</v>
          </cell>
          <cell r="F691">
            <v>336</v>
          </cell>
          <cell r="G691" t="str">
            <v>E</v>
          </cell>
          <cell r="R691">
            <v>0</v>
          </cell>
          <cell r="X691">
            <v>2</v>
          </cell>
        </row>
        <row r="692">
          <cell r="C692" t="str">
            <v>EL PEÑON</v>
          </cell>
          <cell r="D692" t="str">
            <v>BOLIVAR</v>
          </cell>
          <cell r="E692">
            <v>2787</v>
          </cell>
          <cell r="F692">
            <v>56</v>
          </cell>
          <cell r="G692" t="str">
            <v>A</v>
          </cell>
          <cell r="R692">
            <v>0</v>
          </cell>
        </row>
        <row r="693">
          <cell r="C693" t="str">
            <v>RAGONVALIA</v>
          </cell>
          <cell r="D693" t="str">
            <v>NORTE DE SANTANDER</v>
          </cell>
          <cell r="E693">
            <v>2763</v>
          </cell>
          <cell r="F693">
            <v>141</v>
          </cell>
          <cell r="G693" t="str">
            <v>C</v>
          </cell>
          <cell r="R693">
            <v>0</v>
          </cell>
        </row>
        <row r="694">
          <cell r="C694" t="str">
            <v>SANTA MARIA </v>
          </cell>
          <cell r="D694" t="str">
            <v>HUILA</v>
          </cell>
          <cell r="E694">
            <v>2758</v>
          </cell>
          <cell r="F694">
            <v>242</v>
          </cell>
          <cell r="G694" t="str">
            <v>E</v>
          </cell>
          <cell r="R694">
            <v>0</v>
          </cell>
          <cell r="X694">
            <v>1</v>
          </cell>
        </row>
        <row r="695">
          <cell r="C695" t="str">
            <v>HATILLO DE LOBA</v>
          </cell>
          <cell r="D695" t="str">
            <v>BOLIVAR</v>
          </cell>
          <cell r="E695">
            <v>2758</v>
          </cell>
          <cell r="F695">
            <v>48</v>
          </cell>
          <cell r="G695" t="str">
            <v>A</v>
          </cell>
          <cell r="R695">
            <v>0</v>
          </cell>
        </row>
        <row r="696">
          <cell r="C696" t="str">
            <v>PUEBLO RICO</v>
          </cell>
          <cell r="D696" t="str">
            <v>RISARALDA</v>
          </cell>
          <cell r="E696">
            <v>2744</v>
          </cell>
          <cell r="F696">
            <v>240</v>
          </cell>
          <cell r="G696" t="str">
            <v>F</v>
          </cell>
          <cell r="R696">
            <v>0</v>
          </cell>
          <cell r="X696">
            <v>1</v>
          </cell>
        </row>
        <row r="697">
          <cell r="C697" t="str">
            <v>SAN FERNANDO</v>
          </cell>
          <cell r="D697" t="str">
            <v>BOLIVAR</v>
          </cell>
          <cell r="E697">
            <v>2736</v>
          </cell>
          <cell r="F697">
            <v>21</v>
          </cell>
          <cell r="G697" t="str">
            <v>B</v>
          </cell>
          <cell r="R697">
            <v>0</v>
          </cell>
        </row>
        <row r="698">
          <cell r="C698" t="str">
            <v>SAN ANDRES</v>
          </cell>
          <cell r="D698" t="str">
            <v>SANTANDER</v>
          </cell>
          <cell r="E698">
            <v>2710</v>
          </cell>
          <cell r="F698">
            <v>254</v>
          </cell>
          <cell r="G698" t="str">
            <v>F</v>
          </cell>
          <cell r="R698">
            <v>3</v>
          </cell>
          <cell r="X698">
            <v>1</v>
          </cell>
        </row>
        <row r="699">
          <cell r="C699" t="str">
            <v>BELALCAZAR</v>
          </cell>
          <cell r="D699" t="str">
            <v>CAUCA</v>
          </cell>
          <cell r="E699">
            <v>2709</v>
          </cell>
          <cell r="F699">
            <v>94</v>
          </cell>
          <cell r="G699" t="str">
            <v>E</v>
          </cell>
          <cell r="R699">
            <v>0</v>
          </cell>
        </row>
        <row r="700">
          <cell r="C700" t="str">
            <v>ISCUANDE</v>
          </cell>
          <cell r="D700" t="str">
            <v>NARIÑO</v>
          </cell>
          <cell r="E700">
            <v>2689</v>
          </cell>
          <cell r="F700">
            <v>28</v>
          </cell>
          <cell r="G700" t="str">
            <v>A</v>
          </cell>
          <cell r="R700">
            <v>0</v>
          </cell>
          <cell r="X700">
            <v>1</v>
          </cell>
        </row>
        <row r="701">
          <cell r="C701" t="str">
            <v>PUERTO RONDON</v>
          </cell>
          <cell r="D701" t="str">
            <v>ARAUCA</v>
          </cell>
          <cell r="E701">
            <v>2656</v>
          </cell>
          <cell r="F701">
            <v>102</v>
          </cell>
          <cell r="G701" t="str">
            <v>C</v>
          </cell>
          <cell r="R701">
            <v>0</v>
          </cell>
        </row>
        <row r="702">
          <cell r="C702" t="str">
            <v>PALOCABILDO</v>
          </cell>
          <cell r="D702" t="str">
            <v>TOLIMA</v>
          </cell>
          <cell r="E702">
            <v>2654</v>
          </cell>
          <cell r="F702">
            <v>266</v>
          </cell>
          <cell r="G702" t="str">
            <v>E</v>
          </cell>
          <cell r="R702">
            <v>0</v>
          </cell>
          <cell r="X702">
            <v>1</v>
          </cell>
        </row>
        <row r="703">
          <cell r="C703" t="str">
            <v>MONGUI</v>
          </cell>
          <cell r="D703" t="str">
            <v>BOYACA</v>
          </cell>
          <cell r="E703">
            <v>2634</v>
          </cell>
          <cell r="F703">
            <v>170</v>
          </cell>
          <cell r="G703" t="str">
            <v>D</v>
          </cell>
          <cell r="R703">
            <v>0</v>
          </cell>
        </row>
        <row r="704">
          <cell r="C704" t="str">
            <v>EL COCUY</v>
          </cell>
          <cell r="D704" t="str">
            <v>BOYACA</v>
          </cell>
          <cell r="E704">
            <v>2625</v>
          </cell>
          <cell r="F704">
            <v>254</v>
          </cell>
          <cell r="G704" t="str">
            <v>E</v>
          </cell>
          <cell r="R704">
            <v>0</v>
          </cell>
          <cell r="X704">
            <v>1</v>
          </cell>
        </row>
        <row r="705">
          <cell r="C705" t="str">
            <v>LA VEGA</v>
          </cell>
          <cell r="D705" t="str">
            <v>CAUCA</v>
          </cell>
          <cell r="E705">
            <v>2615</v>
          </cell>
          <cell r="F705">
            <v>60</v>
          </cell>
          <cell r="G705" t="str">
            <v>C</v>
          </cell>
          <cell r="R705">
            <v>0</v>
          </cell>
        </row>
        <row r="706">
          <cell r="C706" t="str">
            <v>SABANALARGA</v>
          </cell>
          <cell r="D706" t="str">
            <v>ANTIOQUIA</v>
          </cell>
          <cell r="E706">
            <v>2596</v>
          </cell>
          <cell r="F706">
            <v>108</v>
          </cell>
          <cell r="G706" t="str">
            <v>D</v>
          </cell>
          <cell r="R706">
            <v>0</v>
          </cell>
        </row>
        <row r="707">
          <cell r="C707" t="str">
            <v>BARICHARA</v>
          </cell>
          <cell r="D707" t="str">
            <v>SANTANDER</v>
          </cell>
          <cell r="E707">
            <v>2588</v>
          </cell>
          <cell r="F707">
            <v>293</v>
          </cell>
          <cell r="G707" t="str">
            <v>F</v>
          </cell>
          <cell r="R707">
            <v>0</v>
          </cell>
          <cell r="X707">
            <v>1</v>
          </cell>
        </row>
        <row r="708">
          <cell r="C708" t="str">
            <v>CARAMANTA</v>
          </cell>
          <cell r="D708" t="str">
            <v>ANTIOQUIA</v>
          </cell>
          <cell r="E708">
            <v>2559</v>
          </cell>
          <cell r="F708">
            <v>165</v>
          </cell>
          <cell r="G708" t="str">
            <v>E</v>
          </cell>
          <cell r="R708">
            <v>0</v>
          </cell>
        </row>
        <row r="709">
          <cell r="C709" t="str">
            <v>TIMBIQUI</v>
          </cell>
          <cell r="D709" t="str">
            <v>CAUCA</v>
          </cell>
          <cell r="E709">
            <v>2530</v>
          </cell>
          <cell r="F709">
            <v>0</v>
          </cell>
          <cell r="G709" t="str">
            <v>D</v>
          </cell>
          <cell r="R709">
            <v>0</v>
          </cell>
        </row>
        <row r="710">
          <cell r="C710" t="str">
            <v>BELEN</v>
          </cell>
          <cell r="D710" t="str">
            <v>NARIÑO</v>
          </cell>
          <cell r="E710">
            <v>2528</v>
          </cell>
          <cell r="F710">
            <v>310</v>
          </cell>
          <cell r="G710" t="str">
            <v>C</v>
          </cell>
          <cell r="R710">
            <v>0</v>
          </cell>
          <cell r="X710">
            <v>1</v>
          </cell>
        </row>
        <row r="711">
          <cell r="C711" t="str">
            <v>PAUNA</v>
          </cell>
          <cell r="D711" t="str">
            <v>BOYACA</v>
          </cell>
          <cell r="E711">
            <v>2515</v>
          </cell>
          <cell r="F711">
            <v>228</v>
          </cell>
          <cell r="G711" t="str">
            <v>D</v>
          </cell>
          <cell r="R711">
            <v>0</v>
          </cell>
          <cell r="X711">
            <v>1</v>
          </cell>
        </row>
        <row r="712">
          <cell r="C712" t="str">
            <v>CHALAN</v>
          </cell>
          <cell r="D712" t="str">
            <v>SUCRE</v>
          </cell>
          <cell r="E712">
            <v>2505</v>
          </cell>
          <cell r="F712">
            <v>35</v>
          </cell>
          <cell r="G712" t="str">
            <v>B</v>
          </cell>
          <cell r="R712">
            <v>0</v>
          </cell>
        </row>
        <row r="713">
          <cell r="C713" t="str">
            <v>NARIÑO</v>
          </cell>
          <cell r="D713" t="str">
            <v>ANTIOQUIA</v>
          </cell>
          <cell r="E713">
            <v>2498</v>
          </cell>
          <cell r="F713">
            <v>177</v>
          </cell>
          <cell r="G713" t="str">
            <v>E</v>
          </cell>
          <cell r="R713">
            <v>0</v>
          </cell>
          <cell r="X713">
            <v>1</v>
          </cell>
        </row>
        <row r="714">
          <cell r="C714" t="str">
            <v>RAQUIRA</v>
          </cell>
          <cell r="D714" t="str">
            <v>BOYACA</v>
          </cell>
          <cell r="E714">
            <v>2498</v>
          </cell>
          <cell r="F714">
            <v>238</v>
          </cell>
          <cell r="G714" t="str">
            <v>E</v>
          </cell>
          <cell r="R714">
            <v>0</v>
          </cell>
          <cell r="X714">
            <v>1</v>
          </cell>
        </row>
        <row r="715">
          <cell r="C715" t="str">
            <v>PASCA</v>
          </cell>
          <cell r="D715" t="str">
            <v>CUNDINAMARCA</v>
          </cell>
          <cell r="E715">
            <v>2496</v>
          </cell>
          <cell r="F715">
            <v>196</v>
          </cell>
          <cell r="G715" t="str">
            <v>E</v>
          </cell>
          <cell r="R715">
            <v>0</v>
          </cell>
          <cell r="X715">
            <v>1</v>
          </cell>
        </row>
        <row r="716">
          <cell r="C716" t="str">
            <v>VALLE DE SAN JUAN</v>
          </cell>
          <cell r="D716" t="str">
            <v>TOLIMA</v>
          </cell>
          <cell r="E716">
            <v>2490</v>
          </cell>
          <cell r="F716">
            <v>113</v>
          </cell>
          <cell r="G716" t="str">
            <v>E</v>
          </cell>
          <cell r="R716">
            <v>0</v>
          </cell>
        </row>
        <row r="717">
          <cell r="C717" t="str">
            <v>PINILLOS </v>
          </cell>
          <cell r="D717" t="str">
            <v>BOLIVAR</v>
          </cell>
          <cell r="E717">
            <v>2478</v>
          </cell>
          <cell r="F717">
            <v>35</v>
          </cell>
          <cell r="G717" t="str">
            <v>A</v>
          </cell>
          <cell r="R717">
            <v>0</v>
          </cell>
        </row>
        <row r="718">
          <cell r="C718" t="str">
            <v>SANTA MARIA</v>
          </cell>
          <cell r="D718" t="str">
            <v>BOYACA</v>
          </cell>
          <cell r="E718">
            <v>2473</v>
          </cell>
          <cell r="F718">
            <v>162</v>
          </cell>
          <cell r="G718" t="str">
            <v>D</v>
          </cell>
          <cell r="R718">
            <v>0</v>
          </cell>
          <cell r="X718">
            <v>1</v>
          </cell>
        </row>
        <row r="719">
          <cell r="C719" t="str">
            <v>LA URIBE</v>
          </cell>
          <cell r="D719" t="str">
            <v>META</v>
          </cell>
          <cell r="E719">
            <v>2470</v>
          </cell>
          <cell r="F719">
            <v>45</v>
          </cell>
          <cell r="G719" t="str">
            <v>B</v>
          </cell>
          <cell r="R719">
            <v>0</v>
          </cell>
        </row>
        <row r="720">
          <cell r="C720" t="str">
            <v>CONCEPCION</v>
          </cell>
          <cell r="D720" t="str">
            <v>SANTANDER</v>
          </cell>
          <cell r="E720">
            <v>2462</v>
          </cell>
          <cell r="F720">
            <v>205</v>
          </cell>
          <cell r="G720" t="str">
            <v>E</v>
          </cell>
          <cell r="R720">
            <v>0</v>
          </cell>
          <cell r="X720">
            <v>1</v>
          </cell>
        </row>
        <row r="721">
          <cell r="C721" t="str">
            <v>CERRITO</v>
          </cell>
          <cell r="D721" t="str">
            <v>SANTANDER</v>
          </cell>
          <cell r="E721">
            <v>2454</v>
          </cell>
          <cell r="F721">
            <v>190</v>
          </cell>
          <cell r="G721" t="str">
            <v>D</v>
          </cell>
          <cell r="R721">
            <v>0</v>
          </cell>
        </row>
        <row r="722">
          <cell r="C722" t="str">
            <v>SAN ANDRES</v>
          </cell>
          <cell r="D722" t="str">
            <v>ANTIOQUIA</v>
          </cell>
          <cell r="E722">
            <v>2441</v>
          </cell>
          <cell r="F722">
            <v>142</v>
          </cell>
          <cell r="G722" t="str">
            <v>E</v>
          </cell>
          <cell r="R722">
            <v>0</v>
          </cell>
        </row>
        <row r="723">
          <cell r="C723" t="str">
            <v>CAPARRAPI</v>
          </cell>
          <cell r="D723" t="str">
            <v>CUNDINAMARCA</v>
          </cell>
          <cell r="E723">
            <v>2440</v>
          </cell>
          <cell r="F723">
            <v>225</v>
          </cell>
          <cell r="G723" t="str">
            <v>E</v>
          </cell>
          <cell r="R723">
            <v>0</v>
          </cell>
          <cell r="X723">
            <v>1</v>
          </cell>
        </row>
        <row r="724">
          <cell r="C724" t="str">
            <v>YACUANQUER</v>
          </cell>
          <cell r="D724" t="str">
            <v>NARIÑO</v>
          </cell>
          <cell r="E724">
            <v>2431</v>
          </cell>
          <cell r="F724">
            <v>56</v>
          </cell>
          <cell r="G724" t="str">
            <v>D</v>
          </cell>
          <cell r="R724">
            <v>0</v>
          </cell>
        </row>
        <row r="725">
          <cell r="C725" t="str">
            <v>BOAVITA</v>
          </cell>
          <cell r="D725" t="str">
            <v>BOYACA</v>
          </cell>
          <cell r="E725">
            <v>2429</v>
          </cell>
          <cell r="F725">
            <v>188</v>
          </cell>
          <cell r="G725" t="str">
            <v>D</v>
          </cell>
          <cell r="R725">
            <v>0</v>
          </cell>
          <cell r="X725">
            <v>1</v>
          </cell>
        </row>
        <row r="726">
          <cell r="C726" t="str">
            <v>VILLAVIEJA</v>
          </cell>
          <cell r="D726" t="str">
            <v>HUILA</v>
          </cell>
          <cell r="E726">
            <v>2423</v>
          </cell>
          <cell r="F726">
            <v>100</v>
          </cell>
          <cell r="G726" t="str">
            <v>E</v>
          </cell>
          <cell r="R726">
            <v>0</v>
          </cell>
          <cell r="X726">
            <v>1</v>
          </cell>
        </row>
        <row r="727">
          <cell r="C727" t="str">
            <v>ALTAMIRA</v>
          </cell>
          <cell r="D727" t="str">
            <v>HUILA</v>
          </cell>
          <cell r="E727">
            <v>2422</v>
          </cell>
          <cell r="F727">
            <v>157</v>
          </cell>
          <cell r="G727" t="str">
            <v>E</v>
          </cell>
          <cell r="R727">
            <v>0</v>
          </cell>
          <cell r="X727">
            <v>1</v>
          </cell>
        </row>
        <row r="728">
          <cell r="C728" t="str">
            <v>EL AGUILA</v>
          </cell>
          <cell r="D728" t="str">
            <v>VALLE</v>
          </cell>
          <cell r="E728">
            <v>2411</v>
          </cell>
          <cell r="F728">
            <v>214</v>
          </cell>
          <cell r="G728" t="str">
            <v>D</v>
          </cell>
          <cell r="R728">
            <v>0</v>
          </cell>
        </row>
        <row r="729">
          <cell r="C729" t="str">
            <v>LA PRIMAVERA</v>
          </cell>
          <cell r="D729" t="str">
            <v>VICHADA</v>
          </cell>
          <cell r="E729">
            <v>2405</v>
          </cell>
          <cell r="F729">
            <v>0</v>
          </cell>
          <cell r="G729" t="str">
            <v>B</v>
          </cell>
          <cell r="R729">
            <v>0</v>
          </cell>
          <cell r="X729">
            <v>1</v>
          </cell>
        </row>
        <row r="730">
          <cell r="C730" t="str">
            <v>COLON</v>
          </cell>
          <cell r="D730" t="str">
            <v>PUTUMAYO</v>
          </cell>
          <cell r="E730">
            <v>2401</v>
          </cell>
          <cell r="F730">
            <v>0</v>
          </cell>
          <cell r="G730" t="str">
            <v>D</v>
          </cell>
          <cell r="R730">
            <v>0</v>
          </cell>
        </row>
        <row r="731">
          <cell r="C731" t="str">
            <v>PIOJO</v>
          </cell>
          <cell r="D731" t="str">
            <v>ATLANTICO</v>
          </cell>
          <cell r="E731">
            <v>2387</v>
          </cell>
          <cell r="F731">
            <v>66</v>
          </cell>
          <cell r="G731" t="str">
            <v>B</v>
          </cell>
          <cell r="R731">
            <v>0</v>
          </cell>
        </row>
        <row r="732">
          <cell r="C732" t="str">
            <v>TURMEQUE</v>
          </cell>
          <cell r="D732" t="str">
            <v>BOYACA</v>
          </cell>
          <cell r="E732">
            <v>2384</v>
          </cell>
          <cell r="F732">
            <v>242</v>
          </cell>
          <cell r="G732" t="str">
            <v>D</v>
          </cell>
          <cell r="R732">
            <v>0</v>
          </cell>
          <cell r="X732">
            <v>1</v>
          </cell>
        </row>
        <row r="733">
          <cell r="C733" t="str">
            <v>PIZARRO</v>
          </cell>
          <cell r="D733" t="str">
            <v>CHOCO</v>
          </cell>
          <cell r="E733">
            <v>2371</v>
          </cell>
          <cell r="F733">
            <v>0</v>
          </cell>
          <cell r="G733" t="str">
            <v>B</v>
          </cell>
          <cell r="R733">
            <v>0</v>
          </cell>
        </row>
        <row r="734">
          <cell r="C734" t="str">
            <v>FUNES</v>
          </cell>
          <cell r="D734" t="str">
            <v>NARIÑO</v>
          </cell>
          <cell r="E734">
            <v>2362</v>
          </cell>
          <cell r="F734">
            <v>87</v>
          </cell>
          <cell r="G734" t="str">
            <v>C</v>
          </cell>
          <cell r="R734">
            <v>0</v>
          </cell>
        </row>
        <row r="735">
          <cell r="C735" t="str">
            <v>IQUIRA</v>
          </cell>
          <cell r="D735" t="str">
            <v>HUILA</v>
          </cell>
          <cell r="E735">
            <v>2352</v>
          </cell>
          <cell r="F735">
            <v>146</v>
          </cell>
          <cell r="G735" t="str">
            <v>E</v>
          </cell>
          <cell r="R735">
            <v>0</v>
          </cell>
          <cell r="X735">
            <v>1</v>
          </cell>
        </row>
        <row r="736">
          <cell r="C736" t="str">
            <v>CRAVO NORTE</v>
          </cell>
          <cell r="D736" t="str">
            <v>ARAUCA</v>
          </cell>
          <cell r="E736">
            <v>2348</v>
          </cell>
          <cell r="F736">
            <v>93</v>
          </cell>
          <cell r="G736" t="str">
            <v>B</v>
          </cell>
          <cell r="R736">
            <v>0</v>
          </cell>
        </row>
        <row r="737">
          <cell r="C737" t="str">
            <v>SESQUILE</v>
          </cell>
          <cell r="D737" t="str">
            <v>CUNDINAMARCA</v>
          </cell>
          <cell r="E737">
            <v>2339</v>
          </cell>
          <cell r="F737">
            <v>177</v>
          </cell>
          <cell r="G737" t="str">
            <v>F</v>
          </cell>
          <cell r="R737">
            <v>0</v>
          </cell>
          <cell r="X737">
            <v>2</v>
          </cell>
        </row>
        <row r="738">
          <cell r="C738" t="str">
            <v>BOCHALEMA</v>
          </cell>
          <cell r="D738" t="str">
            <v>NORTE DE SANTANDER</v>
          </cell>
          <cell r="E738">
            <v>2333</v>
          </cell>
          <cell r="F738">
            <v>137</v>
          </cell>
          <cell r="G738" t="str">
            <v>D</v>
          </cell>
          <cell r="R738">
            <v>0</v>
          </cell>
        </row>
        <row r="739">
          <cell r="C739" t="str">
            <v>BAGADO</v>
          </cell>
          <cell r="D739" t="str">
            <v>CHOCO</v>
          </cell>
          <cell r="E739">
            <v>2333</v>
          </cell>
          <cell r="F739">
            <v>0</v>
          </cell>
          <cell r="G739" t="str">
            <v>C</v>
          </cell>
          <cell r="R739">
            <v>0</v>
          </cell>
        </row>
        <row r="740">
          <cell r="C740" t="str">
            <v>NIMAIMA</v>
          </cell>
          <cell r="D740" t="str">
            <v>CUNDINAMARCA</v>
          </cell>
          <cell r="E740">
            <v>2321</v>
          </cell>
          <cell r="F740">
            <v>67</v>
          </cell>
          <cell r="G740" t="str">
            <v>B</v>
          </cell>
          <cell r="R740">
            <v>0</v>
          </cell>
        </row>
        <row r="741">
          <cell r="C741" t="str">
            <v>PEDRAZA </v>
          </cell>
          <cell r="D741" t="str">
            <v>MAGDALENA</v>
          </cell>
          <cell r="E741">
            <v>2320</v>
          </cell>
          <cell r="F741">
            <v>65</v>
          </cell>
          <cell r="G741" t="str">
            <v>B</v>
          </cell>
          <cell r="R741">
            <v>0</v>
          </cell>
        </row>
        <row r="742">
          <cell r="C742" t="str">
            <v>VILLARRICA</v>
          </cell>
          <cell r="D742" t="str">
            <v>TOLIMA</v>
          </cell>
          <cell r="E742">
            <v>2306</v>
          </cell>
          <cell r="F742">
            <v>151</v>
          </cell>
          <cell r="G742" t="str">
            <v>E</v>
          </cell>
          <cell r="R742">
            <v>0</v>
          </cell>
        </row>
        <row r="743">
          <cell r="C743" t="str">
            <v>BARRANCA DE UPIA</v>
          </cell>
          <cell r="D743" t="str">
            <v>META</v>
          </cell>
          <cell r="E743">
            <v>2302</v>
          </cell>
          <cell r="F743">
            <v>74</v>
          </cell>
          <cell r="G743" t="str">
            <v>E</v>
          </cell>
          <cell r="R743">
            <v>0</v>
          </cell>
        </row>
        <row r="744">
          <cell r="C744" t="str">
            <v>CHIPAQUE</v>
          </cell>
          <cell r="D744" t="str">
            <v>CUNDINAMARCA</v>
          </cell>
          <cell r="E744">
            <v>2293</v>
          </cell>
          <cell r="F744">
            <v>273</v>
          </cell>
          <cell r="G744" t="str">
            <v>E</v>
          </cell>
          <cell r="R744">
            <v>0</v>
          </cell>
          <cell r="X744">
            <v>1</v>
          </cell>
        </row>
        <row r="745">
          <cell r="C745" t="str">
            <v>UTICA</v>
          </cell>
          <cell r="D745" t="str">
            <v>CUNDINAMARCA</v>
          </cell>
          <cell r="E745">
            <v>2292</v>
          </cell>
          <cell r="F745">
            <v>174</v>
          </cell>
          <cell r="G745" t="str">
            <v>D</v>
          </cell>
          <cell r="R745">
            <v>0</v>
          </cell>
          <cell r="X745">
            <v>1</v>
          </cell>
        </row>
        <row r="746">
          <cell r="C746" t="str">
            <v>ARBOLEDAS</v>
          </cell>
          <cell r="D746" t="str">
            <v>NORTE DE SANTANDER</v>
          </cell>
          <cell r="E746">
            <v>2289</v>
          </cell>
          <cell r="F746">
            <v>105</v>
          </cell>
          <cell r="G746" t="str">
            <v>D</v>
          </cell>
          <cell r="R746">
            <v>0</v>
          </cell>
        </row>
        <row r="747">
          <cell r="C747" t="str">
            <v>CUNDAY</v>
          </cell>
          <cell r="D747" t="str">
            <v>TOLIMA</v>
          </cell>
          <cell r="E747">
            <v>2282</v>
          </cell>
          <cell r="F747">
            <v>132</v>
          </cell>
          <cell r="G747" t="str">
            <v>E</v>
          </cell>
          <cell r="R747">
            <v>0</v>
          </cell>
          <cell r="X747">
            <v>1</v>
          </cell>
        </row>
        <row r="748">
          <cell r="C748" t="str">
            <v>SAN FRANCISCO</v>
          </cell>
          <cell r="D748" t="str">
            <v>ANTIOQUIA</v>
          </cell>
          <cell r="E748">
            <v>2277</v>
          </cell>
          <cell r="F748">
            <v>102</v>
          </cell>
          <cell r="G748" t="str">
            <v>E</v>
          </cell>
          <cell r="R748">
            <v>0</v>
          </cell>
        </row>
        <row r="749">
          <cell r="C749" t="str">
            <v>PESCA</v>
          </cell>
          <cell r="D749" t="str">
            <v>BOYACA</v>
          </cell>
          <cell r="E749">
            <v>2262</v>
          </cell>
          <cell r="F749">
            <v>220</v>
          </cell>
          <cell r="G749" t="str">
            <v>D</v>
          </cell>
          <cell r="R749">
            <v>0</v>
          </cell>
          <cell r="X749">
            <v>1</v>
          </cell>
        </row>
        <row r="750">
          <cell r="C750" t="str">
            <v>LINARES</v>
          </cell>
          <cell r="D750" t="str">
            <v>NARIÑO</v>
          </cell>
          <cell r="E750">
            <v>2260</v>
          </cell>
          <cell r="F750">
            <v>67</v>
          </cell>
          <cell r="G750" t="str">
            <v>D</v>
          </cell>
          <cell r="R750">
            <v>0</v>
          </cell>
        </row>
        <row r="751">
          <cell r="C751" t="str">
            <v>SANTA ISABEL</v>
          </cell>
          <cell r="D751" t="str">
            <v>TOLIMA</v>
          </cell>
          <cell r="E751">
            <v>2235</v>
          </cell>
          <cell r="F751">
            <v>255</v>
          </cell>
          <cell r="G751" t="str">
            <v>F</v>
          </cell>
          <cell r="R751">
            <v>0</v>
          </cell>
        </row>
        <row r="752">
          <cell r="C752" t="str">
            <v>HERVEO</v>
          </cell>
          <cell r="D752" t="str">
            <v>TOLIMA</v>
          </cell>
          <cell r="E752">
            <v>2205</v>
          </cell>
          <cell r="F752">
            <v>138</v>
          </cell>
          <cell r="G752" t="str">
            <v>E</v>
          </cell>
          <cell r="R752">
            <v>0</v>
          </cell>
        </row>
        <row r="753">
          <cell r="C753" t="str">
            <v>SAN LORENZO</v>
          </cell>
          <cell r="D753" t="str">
            <v>NARIÑO</v>
          </cell>
          <cell r="E753">
            <v>2203</v>
          </cell>
          <cell r="F753">
            <v>82</v>
          </cell>
          <cell r="G753" t="str">
            <v>D</v>
          </cell>
          <cell r="R753">
            <v>0</v>
          </cell>
        </row>
        <row r="754">
          <cell r="C754" t="str">
            <v>SIMACOTA</v>
          </cell>
          <cell r="D754" t="str">
            <v>SANTANDER</v>
          </cell>
          <cell r="E754">
            <v>2202</v>
          </cell>
          <cell r="F754">
            <v>91</v>
          </cell>
          <cell r="G754" t="str">
            <v>E</v>
          </cell>
          <cell r="R754">
            <v>0</v>
          </cell>
        </row>
        <row r="755">
          <cell r="C755" t="str">
            <v>EL CARMEN</v>
          </cell>
          <cell r="D755" t="str">
            <v>NORTE DE SANTANDER</v>
          </cell>
          <cell r="E755">
            <v>2199</v>
          </cell>
          <cell r="F755">
            <v>137</v>
          </cell>
          <cell r="G755" t="str">
            <v>D</v>
          </cell>
          <cell r="R755">
            <v>0</v>
          </cell>
        </row>
        <row r="756">
          <cell r="C756" t="str">
            <v>LLORO</v>
          </cell>
          <cell r="D756" t="str">
            <v>CHOCO</v>
          </cell>
          <cell r="E756">
            <v>2198</v>
          </cell>
          <cell r="F756">
            <v>0</v>
          </cell>
          <cell r="G756" t="str">
            <v>B</v>
          </cell>
          <cell r="R756">
            <v>0</v>
          </cell>
        </row>
        <row r="757">
          <cell r="C757" t="str">
            <v>POLICARPA</v>
          </cell>
          <cell r="D757" t="str">
            <v>NARIÑO</v>
          </cell>
          <cell r="E757">
            <v>2197</v>
          </cell>
          <cell r="F757">
            <v>69</v>
          </cell>
          <cell r="G757" t="str">
            <v>D</v>
          </cell>
          <cell r="R757">
            <v>0</v>
          </cell>
        </row>
        <row r="758">
          <cell r="C758" t="str">
            <v>SALADOBLANCO</v>
          </cell>
          <cell r="D758" t="str">
            <v>HUILA</v>
          </cell>
          <cell r="E758">
            <v>2192</v>
          </cell>
          <cell r="F758">
            <v>241</v>
          </cell>
          <cell r="G758" t="str">
            <v>E</v>
          </cell>
          <cell r="R758">
            <v>0</v>
          </cell>
        </row>
        <row r="759">
          <cell r="C759" t="str">
            <v>BRICEÑO</v>
          </cell>
          <cell r="D759" t="str">
            <v>ANTIOQUIA</v>
          </cell>
          <cell r="E759">
            <v>2190</v>
          </cell>
          <cell r="F759">
            <v>80</v>
          </cell>
          <cell r="G759" t="str">
            <v>D</v>
          </cell>
          <cell r="R759">
            <v>0</v>
          </cell>
        </row>
        <row r="760">
          <cell r="C760" t="str">
            <v>ARATOCA</v>
          </cell>
          <cell r="D760" t="str">
            <v>SANTANDER</v>
          </cell>
          <cell r="E760">
            <v>2188</v>
          </cell>
          <cell r="F760">
            <v>469</v>
          </cell>
          <cell r="G760" t="str">
            <v>E</v>
          </cell>
          <cell r="R760">
            <v>0</v>
          </cell>
          <cell r="X760">
            <v>1</v>
          </cell>
        </row>
        <row r="761">
          <cell r="C761" t="str">
            <v>TEORAMA</v>
          </cell>
          <cell r="D761" t="str">
            <v>NORTE DE SANTANDER</v>
          </cell>
          <cell r="E761">
            <v>2187</v>
          </cell>
          <cell r="F761">
            <v>83</v>
          </cell>
          <cell r="G761" t="str">
            <v>D</v>
          </cell>
          <cell r="R761">
            <v>0</v>
          </cell>
        </row>
        <row r="762">
          <cell r="C762" t="str">
            <v>SASAIMA</v>
          </cell>
          <cell r="D762" t="str">
            <v>CUNDINAMARCA</v>
          </cell>
          <cell r="E762">
            <v>2186</v>
          </cell>
          <cell r="F762">
            <v>240</v>
          </cell>
          <cell r="G762" t="str">
            <v>F</v>
          </cell>
          <cell r="R762">
            <v>0</v>
          </cell>
          <cell r="X762">
            <v>1</v>
          </cell>
        </row>
        <row r="763">
          <cell r="C763" t="str">
            <v>INZA</v>
          </cell>
          <cell r="D763" t="str">
            <v>CAUCA</v>
          </cell>
          <cell r="E763">
            <v>2182</v>
          </cell>
          <cell r="F763">
            <v>38</v>
          </cell>
          <cell r="G763" t="str">
            <v>D</v>
          </cell>
          <cell r="R763">
            <v>0</v>
          </cell>
        </row>
        <row r="764">
          <cell r="C764" t="str">
            <v>SANTANA</v>
          </cell>
          <cell r="D764" t="str">
            <v>BOYACA</v>
          </cell>
          <cell r="E764">
            <v>2182</v>
          </cell>
          <cell r="F764">
            <v>230</v>
          </cell>
          <cell r="G764" t="str">
            <v>D</v>
          </cell>
          <cell r="R764">
            <v>0</v>
          </cell>
          <cell r="X764">
            <v>1</v>
          </cell>
        </row>
        <row r="765">
          <cell r="C765" t="str">
            <v>SANTO DOMINGO</v>
          </cell>
          <cell r="D765" t="str">
            <v>ANTIOQUIA</v>
          </cell>
          <cell r="E765">
            <v>2173</v>
          </cell>
          <cell r="F765">
            <v>168</v>
          </cell>
          <cell r="G765" t="str">
            <v>F</v>
          </cell>
          <cell r="R765">
            <v>0</v>
          </cell>
        </row>
        <row r="766">
          <cell r="C766" t="str">
            <v>ULLOA</v>
          </cell>
          <cell r="D766" t="str">
            <v>VALLE</v>
          </cell>
          <cell r="E766">
            <v>2167</v>
          </cell>
          <cell r="F766">
            <v>150</v>
          </cell>
          <cell r="G766" t="str">
            <v>D</v>
          </cell>
          <cell r="R766">
            <v>0</v>
          </cell>
        </row>
        <row r="767">
          <cell r="C767" t="str">
            <v>TUTA</v>
          </cell>
          <cell r="D767" t="str">
            <v>BOYACA</v>
          </cell>
          <cell r="E767">
            <v>2153</v>
          </cell>
          <cell r="F767">
            <v>279</v>
          </cell>
          <cell r="G767" t="str">
            <v>E</v>
          </cell>
          <cell r="R767">
            <v>0</v>
          </cell>
          <cell r="X767">
            <v>1</v>
          </cell>
        </row>
        <row r="768">
          <cell r="C768" t="str">
            <v>GUALMATAN</v>
          </cell>
          <cell r="D768" t="str">
            <v>NARIÑO</v>
          </cell>
          <cell r="E768">
            <v>2148</v>
          </cell>
          <cell r="F768">
            <v>121</v>
          </cell>
          <cell r="G768" t="str">
            <v>D</v>
          </cell>
          <cell r="R768">
            <v>0</v>
          </cell>
          <cell r="X768">
            <v>1</v>
          </cell>
        </row>
        <row r="769">
          <cell r="C769" t="str">
            <v>ALBANIA</v>
          </cell>
          <cell r="D769" t="str">
            <v>CAQUETA</v>
          </cell>
          <cell r="E769">
            <v>2141</v>
          </cell>
          <cell r="F769">
            <v>135</v>
          </cell>
          <cell r="G769" t="str">
            <v>D</v>
          </cell>
          <cell r="R769">
            <v>0</v>
          </cell>
        </row>
        <row r="770">
          <cell r="C770" t="str">
            <v>TANGUA</v>
          </cell>
          <cell r="D770" t="str">
            <v>NARIÑO</v>
          </cell>
          <cell r="E770">
            <v>2140</v>
          </cell>
          <cell r="F770">
            <v>108</v>
          </cell>
          <cell r="G770" t="str">
            <v>D</v>
          </cell>
          <cell r="R770">
            <v>0</v>
          </cell>
        </row>
        <row r="771">
          <cell r="C771" t="str">
            <v>EBEJICO</v>
          </cell>
          <cell r="D771" t="str">
            <v>ANTIOQUIA</v>
          </cell>
          <cell r="E771">
            <v>2118</v>
          </cell>
          <cell r="F771">
            <v>201</v>
          </cell>
          <cell r="G771" t="str">
            <v>E</v>
          </cell>
          <cell r="R771">
            <v>0</v>
          </cell>
        </row>
        <row r="772">
          <cell r="C772" t="str">
            <v>LAS ANIMAS</v>
          </cell>
          <cell r="D772" t="str">
            <v>CHOCO</v>
          </cell>
          <cell r="E772">
            <v>2116</v>
          </cell>
          <cell r="F772">
            <v>0</v>
          </cell>
          <cell r="G772" t="str">
            <v>A</v>
          </cell>
          <cell r="R772">
            <v>0</v>
          </cell>
        </row>
        <row r="773">
          <cell r="C773" t="str">
            <v>CORDOBA</v>
          </cell>
          <cell r="D773" t="str">
            <v>NARIÑO</v>
          </cell>
          <cell r="E773">
            <v>2102</v>
          </cell>
          <cell r="F773">
            <v>306</v>
          </cell>
          <cell r="G773" t="str">
            <v>D</v>
          </cell>
          <cell r="R773">
            <v>0</v>
          </cell>
          <cell r="X773">
            <v>1</v>
          </cell>
        </row>
        <row r="774">
          <cell r="C774" t="str">
            <v>OSPINA</v>
          </cell>
          <cell r="D774" t="str">
            <v>NARIÑO</v>
          </cell>
          <cell r="E774">
            <v>2097</v>
          </cell>
          <cell r="F774">
            <v>58</v>
          </cell>
          <cell r="G774" t="str">
            <v>B</v>
          </cell>
          <cell r="R774">
            <v>0</v>
          </cell>
        </row>
        <row r="775">
          <cell r="C775" t="str">
            <v>RICAURTE</v>
          </cell>
          <cell r="D775" t="str">
            <v>NARIÑO</v>
          </cell>
          <cell r="E775">
            <v>2085</v>
          </cell>
          <cell r="F775">
            <v>13</v>
          </cell>
          <cell r="G775" t="str">
            <v>D</v>
          </cell>
          <cell r="R775">
            <v>0</v>
          </cell>
          <cell r="X775">
            <v>1</v>
          </cell>
        </row>
        <row r="776">
          <cell r="C776" t="str">
            <v>SAN JOSE DE LA MONTAÑA</v>
          </cell>
          <cell r="D776" t="str">
            <v>ANTIOQUIA</v>
          </cell>
          <cell r="E776">
            <v>2084</v>
          </cell>
          <cell r="F776">
            <v>114</v>
          </cell>
          <cell r="G776" t="str">
            <v>C</v>
          </cell>
          <cell r="R776">
            <v>0</v>
          </cell>
          <cell r="X776">
            <v>1</v>
          </cell>
        </row>
        <row r="777">
          <cell r="C777" t="str">
            <v>LA MERCED</v>
          </cell>
          <cell r="D777" t="str">
            <v>CALDAS</v>
          </cell>
          <cell r="E777">
            <v>2082</v>
          </cell>
          <cell r="F777">
            <v>236</v>
          </cell>
          <cell r="G777" t="str">
            <v>D</v>
          </cell>
          <cell r="R777">
            <v>0</v>
          </cell>
          <cell r="X777">
            <v>1</v>
          </cell>
        </row>
        <row r="778">
          <cell r="C778" t="str">
            <v>SANTIAGO</v>
          </cell>
          <cell r="D778" t="str">
            <v>PUTUMAYO</v>
          </cell>
          <cell r="E778">
            <v>2081</v>
          </cell>
          <cell r="F778">
            <v>0</v>
          </cell>
          <cell r="G778" t="str">
            <v>D</v>
          </cell>
          <cell r="R778">
            <v>0</v>
          </cell>
        </row>
        <row r="779">
          <cell r="C779" t="str">
            <v>VIGIA DEL FUERTE</v>
          </cell>
          <cell r="D779" t="str">
            <v>ANTIOQUIA</v>
          </cell>
          <cell r="E779">
            <v>2077</v>
          </cell>
          <cell r="F779">
            <v>0</v>
          </cell>
          <cell r="G779" t="str">
            <v>A</v>
          </cell>
          <cell r="R779">
            <v>0</v>
          </cell>
        </row>
        <row r="780">
          <cell r="C780" t="str">
            <v>ANGOSTURA</v>
          </cell>
          <cell r="D780" t="str">
            <v>ANTIOQUIA</v>
          </cell>
          <cell r="E780">
            <v>2061</v>
          </cell>
          <cell r="F780">
            <v>180</v>
          </cell>
          <cell r="G780" t="str">
            <v>E</v>
          </cell>
          <cell r="R780">
            <v>0</v>
          </cell>
        </row>
        <row r="781">
          <cell r="C781" t="str">
            <v>PARATEBUENO</v>
          </cell>
          <cell r="D781" t="str">
            <v>CUNDINAMARCA</v>
          </cell>
          <cell r="E781">
            <v>2056</v>
          </cell>
          <cell r="F781">
            <v>153</v>
          </cell>
          <cell r="G781" t="str">
            <v>F</v>
          </cell>
          <cell r="R781">
            <v>0</v>
          </cell>
          <cell r="X781">
            <v>1</v>
          </cell>
        </row>
        <row r="782">
          <cell r="C782" t="str">
            <v>LENGUAZAQUE </v>
          </cell>
          <cell r="D782" t="str">
            <v>CUNDINAMARCA</v>
          </cell>
          <cell r="E782">
            <v>2056</v>
          </cell>
          <cell r="F782">
            <v>202</v>
          </cell>
          <cell r="G782" t="str">
            <v>F</v>
          </cell>
          <cell r="R782">
            <v>0</v>
          </cell>
          <cell r="X782">
            <v>1</v>
          </cell>
        </row>
        <row r="783">
          <cell r="C783" t="str">
            <v>FIRAVITOBA</v>
          </cell>
          <cell r="D783" t="str">
            <v>BOYACA</v>
          </cell>
          <cell r="E783">
            <v>2049</v>
          </cell>
          <cell r="F783">
            <v>139</v>
          </cell>
          <cell r="G783" t="str">
            <v>D</v>
          </cell>
          <cell r="R783">
            <v>0</v>
          </cell>
          <cell r="X783">
            <v>1</v>
          </cell>
        </row>
        <row r="784">
          <cell r="C784" t="str">
            <v>SAN LUIS DE GACENO</v>
          </cell>
          <cell r="D784" t="str">
            <v>BOYACA</v>
          </cell>
          <cell r="E784">
            <v>2045</v>
          </cell>
          <cell r="F784">
            <v>164</v>
          </cell>
          <cell r="G784" t="str">
            <v>E</v>
          </cell>
          <cell r="R784">
            <v>0</v>
          </cell>
        </row>
        <row r="785">
          <cell r="C785" t="str">
            <v>PAICOL</v>
          </cell>
          <cell r="D785" t="str">
            <v>HUILA</v>
          </cell>
          <cell r="E785">
            <v>2042</v>
          </cell>
          <cell r="F785">
            <v>127</v>
          </cell>
          <cell r="G785" t="str">
            <v>D</v>
          </cell>
          <cell r="R785">
            <v>0</v>
          </cell>
          <cell r="X785">
            <v>1</v>
          </cell>
        </row>
        <row r="786">
          <cell r="C786" t="str">
            <v>URAMITA</v>
          </cell>
          <cell r="D786" t="str">
            <v>ANTIOQUIA</v>
          </cell>
          <cell r="E786">
            <v>2027</v>
          </cell>
          <cell r="F786">
            <v>116</v>
          </cell>
          <cell r="G786" t="str">
            <v>D</v>
          </cell>
          <cell r="R786">
            <v>0</v>
          </cell>
        </row>
        <row r="787">
          <cell r="C787" t="str">
            <v>CUASPUD-CARLOSSAMA</v>
          </cell>
          <cell r="D787" t="str">
            <v>NARIÑO</v>
          </cell>
          <cell r="E787">
            <v>2023</v>
          </cell>
          <cell r="F787">
            <v>61</v>
          </cell>
          <cell r="G787" t="str">
            <v>C</v>
          </cell>
          <cell r="R787">
            <v>0</v>
          </cell>
        </row>
        <row r="788">
          <cell r="C788" t="str">
            <v>ANZOATEGUI</v>
          </cell>
          <cell r="D788" t="str">
            <v>TOLIMA</v>
          </cell>
          <cell r="E788">
            <v>2016</v>
          </cell>
          <cell r="F788">
            <v>189</v>
          </cell>
          <cell r="G788" t="str">
            <v>D</v>
          </cell>
          <cell r="R788">
            <v>0</v>
          </cell>
        </row>
        <row r="789">
          <cell r="C789" t="str">
            <v>POTOSI</v>
          </cell>
          <cell r="D789" t="str">
            <v>NARIÑO</v>
          </cell>
          <cell r="E789">
            <v>2016</v>
          </cell>
          <cell r="F789">
            <v>105</v>
          </cell>
          <cell r="G789" t="str">
            <v>D</v>
          </cell>
          <cell r="R789">
            <v>0</v>
          </cell>
        </row>
        <row r="790">
          <cell r="C790" t="str">
            <v>MONTEBELLO</v>
          </cell>
          <cell r="D790" t="str">
            <v>ANTIOQUIA</v>
          </cell>
          <cell r="E790">
            <v>1987</v>
          </cell>
          <cell r="F790">
            <v>193</v>
          </cell>
          <cell r="G790" t="str">
            <v>D</v>
          </cell>
          <cell r="R790">
            <v>0</v>
          </cell>
          <cell r="X790">
            <v>1</v>
          </cell>
        </row>
        <row r="791">
          <cell r="C791" t="str">
            <v>LA JAGUA DEL PILAR</v>
          </cell>
          <cell r="D791" t="str">
            <v>LA GUAJIRA</v>
          </cell>
          <cell r="E791">
            <v>1954</v>
          </cell>
          <cell r="F791">
            <v>32</v>
          </cell>
          <cell r="G791" t="str">
            <v>B</v>
          </cell>
          <cell r="R791">
            <v>0</v>
          </cell>
        </row>
        <row r="792">
          <cell r="C792" t="str">
            <v>LA LLANADA</v>
          </cell>
          <cell r="D792" t="str">
            <v>NARIÑO</v>
          </cell>
          <cell r="E792">
            <v>1950</v>
          </cell>
          <cell r="F792">
            <v>103</v>
          </cell>
          <cell r="G792" t="str">
            <v>B</v>
          </cell>
          <cell r="R792">
            <v>0</v>
          </cell>
        </row>
        <row r="793">
          <cell r="C793" t="str">
            <v>VENTAQUEMADA</v>
          </cell>
          <cell r="D793" t="str">
            <v>BOYACA</v>
          </cell>
          <cell r="E793">
            <v>1946</v>
          </cell>
          <cell r="F793">
            <v>268</v>
          </cell>
          <cell r="G793" t="str">
            <v>E</v>
          </cell>
          <cell r="R793">
            <v>0</v>
          </cell>
          <cell r="X793">
            <v>1</v>
          </cell>
        </row>
        <row r="794">
          <cell r="C794" t="str">
            <v>CONTADERO</v>
          </cell>
          <cell r="D794" t="str">
            <v>NARIÑO</v>
          </cell>
          <cell r="E794">
            <v>1942</v>
          </cell>
          <cell r="F794">
            <v>29</v>
          </cell>
          <cell r="G794" t="str">
            <v>C</v>
          </cell>
          <cell r="R794">
            <v>0</v>
          </cell>
        </row>
        <row r="795">
          <cell r="C795" t="str">
            <v>DURANIA</v>
          </cell>
          <cell r="D795" t="str">
            <v>NORTE DE SANTANDER</v>
          </cell>
          <cell r="E795">
            <v>1941</v>
          </cell>
          <cell r="F795">
            <v>157</v>
          </cell>
          <cell r="G795" t="str">
            <v>D</v>
          </cell>
          <cell r="R795">
            <v>0</v>
          </cell>
        </row>
        <row r="796">
          <cell r="C796" t="str">
            <v>NOVITA</v>
          </cell>
          <cell r="D796" t="str">
            <v>CHOCO</v>
          </cell>
          <cell r="E796">
            <v>1940</v>
          </cell>
          <cell r="F796">
            <v>0</v>
          </cell>
          <cell r="G796" t="str">
            <v>B</v>
          </cell>
          <cell r="R796">
            <v>0</v>
          </cell>
        </row>
        <row r="797">
          <cell r="C797" t="str">
            <v>SUAREZ </v>
          </cell>
          <cell r="D797" t="str">
            <v>TOLIMA</v>
          </cell>
          <cell r="E797">
            <v>1938</v>
          </cell>
          <cell r="F797">
            <v>65</v>
          </cell>
          <cell r="G797" t="str">
            <v>D</v>
          </cell>
          <cell r="R797">
            <v>0</v>
          </cell>
        </row>
        <row r="798">
          <cell r="C798" t="str">
            <v>GUACA</v>
          </cell>
          <cell r="D798" t="str">
            <v>SANTANDER</v>
          </cell>
          <cell r="E798">
            <v>1936</v>
          </cell>
          <cell r="F798">
            <v>239</v>
          </cell>
          <cell r="G798" t="str">
            <v>C</v>
          </cell>
          <cell r="R798">
            <v>0</v>
          </cell>
        </row>
        <row r="799">
          <cell r="C799" t="str">
            <v>TAMARA</v>
          </cell>
          <cell r="D799" t="str">
            <v>CASANARE</v>
          </cell>
          <cell r="E799">
            <v>1932</v>
          </cell>
          <cell r="F799">
            <v>125</v>
          </cell>
          <cell r="G799" t="str">
            <v>C</v>
          </cell>
          <cell r="R799">
            <v>0</v>
          </cell>
        </row>
        <row r="800">
          <cell r="C800" t="str">
            <v>SUAITA</v>
          </cell>
          <cell r="D800" t="str">
            <v>SANTANDER</v>
          </cell>
          <cell r="E800">
            <v>1924</v>
          </cell>
          <cell r="F800">
            <v>189</v>
          </cell>
          <cell r="G800" t="str">
            <v>F</v>
          </cell>
          <cell r="R800">
            <v>0</v>
          </cell>
          <cell r="X800">
            <v>1</v>
          </cell>
        </row>
        <row r="801">
          <cell r="C801" t="str">
            <v>BUENOS AIRES</v>
          </cell>
          <cell r="D801" t="str">
            <v>CAUCA</v>
          </cell>
          <cell r="E801">
            <v>1924</v>
          </cell>
          <cell r="F801">
            <v>49</v>
          </cell>
          <cell r="G801" t="str">
            <v>D</v>
          </cell>
          <cell r="R801">
            <v>0</v>
          </cell>
        </row>
        <row r="802">
          <cell r="C802" t="str">
            <v>NATAGA</v>
          </cell>
          <cell r="D802" t="str">
            <v>HUILA</v>
          </cell>
          <cell r="E802">
            <v>1917</v>
          </cell>
          <cell r="F802">
            <v>60</v>
          </cell>
          <cell r="G802" t="str">
            <v>C</v>
          </cell>
          <cell r="R802">
            <v>0</v>
          </cell>
        </row>
        <row r="803">
          <cell r="C803" t="str">
            <v>GUADALUPE</v>
          </cell>
          <cell r="D803" t="str">
            <v>ANTIOQUIA</v>
          </cell>
          <cell r="E803">
            <v>1897</v>
          </cell>
          <cell r="F803">
            <v>99</v>
          </cell>
          <cell r="G803" t="str">
            <v>E</v>
          </cell>
          <cell r="R803">
            <v>0</v>
          </cell>
        </row>
        <row r="804">
          <cell r="C804" t="str">
            <v>CHITA</v>
          </cell>
          <cell r="D804" t="str">
            <v>BOYACA</v>
          </cell>
          <cell r="E804">
            <v>1886</v>
          </cell>
          <cell r="F804">
            <v>189</v>
          </cell>
          <cell r="G804" t="str">
            <v>D</v>
          </cell>
          <cell r="R804">
            <v>0</v>
          </cell>
          <cell r="X804">
            <v>1</v>
          </cell>
        </row>
        <row r="805">
          <cell r="C805" t="str">
            <v>LA FLORIDA</v>
          </cell>
          <cell r="D805" t="str">
            <v>NARIÑO</v>
          </cell>
          <cell r="E805">
            <v>1879</v>
          </cell>
          <cell r="F805">
            <v>80</v>
          </cell>
          <cell r="G805" t="str">
            <v>D</v>
          </cell>
          <cell r="R805">
            <v>0</v>
          </cell>
        </row>
        <row r="806">
          <cell r="C806" t="str">
            <v>NUQUI</v>
          </cell>
          <cell r="D806" t="str">
            <v>CHOCO</v>
          </cell>
          <cell r="E806">
            <v>1874</v>
          </cell>
          <cell r="F806">
            <v>0</v>
          </cell>
          <cell r="G806" t="str">
            <v>A</v>
          </cell>
          <cell r="R806">
            <v>0</v>
          </cell>
        </row>
        <row r="807">
          <cell r="C807" t="str">
            <v>ALEJANDRIA</v>
          </cell>
          <cell r="D807" t="str">
            <v>ANTIOQUIA</v>
          </cell>
          <cell r="E807">
            <v>1872</v>
          </cell>
          <cell r="F807">
            <v>150</v>
          </cell>
          <cell r="G807" t="str">
            <v>E</v>
          </cell>
          <cell r="R807">
            <v>0</v>
          </cell>
        </row>
        <row r="808">
          <cell r="C808" t="str">
            <v>SANTA ROSALIA</v>
          </cell>
          <cell r="D808" t="str">
            <v>VICHADA</v>
          </cell>
          <cell r="E808">
            <v>1870</v>
          </cell>
          <cell r="F808">
            <v>8</v>
          </cell>
          <cell r="G808" t="str">
            <v>B</v>
          </cell>
          <cell r="R808">
            <v>0</v>
          </cell>
        </row>
        <row r="809">
          <cell r="C809" t="str">
            <v>GACHALA</v>
          </cell>
          <cell r="D809" t="str">
            <v>CUNDINAMARCA</v>
          </cell>
          <cell r="E809">
            <v>1864</v>
          </cell>
          <cell r="F809">
            <v>150</v>
          </cell>
          <cell r="G809" t="str">
            <v>E</v>
          </cell>
          <cell r="R809">
            <v>0</v>
          </cell>
          <cell r="X809">
            <v>1</v>
          </cell>
        </row>
        <row r="810">
          <cell r="C810" t="str">
            <v>GUEPSA</v>
          </cell>
          <cell r="D810" t="str">
            <v>SANTANDER</v>
          </cell>
          <cell r="E810">
            <v>1859</v>
          </cell>
          <cell r="F810">
            <v>151</v>
          </cell>
          <cell r="G810" t="str">
            <v>E</v>
          </cell>
          <cell r="R810">
            <v>0</v>
          </cell>
          <cell r="X810">
            <v>1</v>
          </cell>
        </row>
        <row r="811">
          <cell r="C811" t="str">
            <v>CANTON DE SAN PABLO</v>
          </cell>
          <cell r="D811" t="str">
            <v>CHOCO</v>
          </cell>
          <cell r="E811">
            <v>1846</v>
          </cell>
          <cell r="F811">
            <v>0</v>
          </cell>
          <cell r="G811" t="str">
            <v>A</v>
          </cell>
          <cell r="R811">
            <v>0</v>
          </cell>
        </row>
        <row r="812">
          <cell r="C812" t="str">
            <v>LIBORINA</v>
          </cell>
          <cell r="D812" t="str">
            <v>ANTIOQUIA</v>
          </cell>
          <cell r="E812">
            <v>1835</v>
          </cell>
          <cell r="F812">
            <v>164</v>
          </cell>
          <cell r="G812" t="str">
            <v>E</v>
          </cell>
          <cell r="R812">
            <v>0</v>
          </cell>
        </row>
        <row r="813">
          <cell r="C813" t="str">
            <v>SAN CALIXTO</v>
          </cell>
          <cell r="D813" t="str">
            <v>NORTE DE SANTANDER</v>
          </cell>
          <cell r="E813">
            <v>1829</v>
          </cell>
          <cell r="F813">
            <v>103</v>
          </cell>
          <cell r="G813" t="str">
            <v>D</v>
          </cell>
          <cell r="R813">
            <v>0</v>
          </cell>
        </row>
        <row r="814">
          <cell r="C814" t="str">
            <v>EL CASTILLO</v>
          </cell>
          <cell r="D814" t="str">
            <v>META</v>
          </cell>
          <cell r="E814">
            <v>1813</v>
          </cell>
          <cell r="F814">
            <v>160</v>
          </cell>
          <cell r="G814" t="str">
            <v>D</v>
          </cell>
          <cell r="R814">
            <v>0</v>
          </cell>
          <cell r="X814">
            <v>1</v>
          </cell>
        </row>
        <row r="815">
          <cell r="C815" t="str">
            <v>TASCO</v>
          </cell>
          <cell r="D815" t="str">
            <v>BOYACA</v>
          </cell>
          <cell r="E815">
            <v>1807</v>
          </cell>
          <cell r="F815">
            <v>156</v>
          </cell>
          <cell r="G815" t="str">
            <v>E</v>
          </cell>
          <cell r="R815">
            <v>0</v>
          </cell>
        </row>
        <row r="816">
          <cell r="C816" t="str">
            <v>ALPUJARRA</v>
          </cell>
          <cell r="D816" t="str">
            <v>TOLIMA</v>
          </cell>
          <cell r="E816">
            <v>1805</v>
          </cell>
          <cell r="F816">
            <v>96</v>
          </cell>
          <cell r="G816" t="str">
            <v>E</v>
          </cell>
          <cell r="R816">
            <v>0</v>
          </cell>
        </row>
        <row r="817">
          <cell r="C817" t="str">
            <v>ANCUYA</v>
          </cell>
          <cell r="D817" t="str">
            <v>NARIÑO</v>
          </cell>
          <cell r="E817">
            <v>1795</v>
          </cell>
          <cell r="F817">
            <v>74</v>
          </cell>
          <cell r="G817" t="str">
            <v>D</v>
          </cell>
          <cell r="R817">
            <v>0</v>
          </cell>
        </row>
        <row r="818">
          <cell r="C818" t="str">
            <v>ALDANA</v>
          </cell>
          <cell r="D818" t="str">
            <v>NARIÑO</v>
          </cell>
          <cell r="E818">
            <v>1790</v>
          </cell>
          <cell r="F818">
            <v>63</v>
          </cell>
          <cell r="G818" t="str">
            <v>D</v>
          </cell>
          <cell r="R818">
            <v>0</v>
          </cell>
        </row>
        <row r="819">
          <cell r="C819" t="str">
            <v>PUERTO NARIÑO</v>
          </cell>
          <cell r="D819" t="str">
            <v>AMAZONAS</v>
          </cell>
          <cell r="E819">
            <v>1787</v>
          </cell>
          <cell r="F819">
            <v>0</v>
          </cell>
          <cell r="G819" t="str">
            <v>A</v>
          </cell>
          <cell r="R819">
            <v>0</v>
          </cell>
        </row>
        <row r="820">
          <cell r="C820" t="str">
            <v>NOCAIMA</v>
          </cell>
          <cell r="D820" t="str">
            <v>CUNDINAMARCA</v>
          </cell>
          <cell r="E820">
            <v>1780</v>
          </cell>
          <cell r="F820">
            <v>139</v>
          </cell>
          <cell r="G820" t="str">
            <v>E</v>
          </cell>
          <cell r="R820">
            <v>0</v>
          </cell>
          <cell r="X820">
            <v>2</v>
          </cell>
        </row>
        <row r="821">
          <cell r="C821" t="str">
            <v>VALLE DE SAN JOSE</v>
          </cell>
          <cell r="D821" t="str">
            <v>SANTANDER</v>
          </cell>
          <cell r="E821">
            <v>1778</v>
          </cell>
          <cell r="F821">
            <v>173</v>
          </cell>
          <cell r="G821" t="str">
            <v>D</v>
          </cell>
          <cell r="R821">
            <v>0</v>
          </cell>
          <cell r="X821">
            <v>1</v>
          </cell>
        </row>
        <row r="822">
          <cell r="C822" t="str">
            <v>ARCABUCO</v>
          </cell>
          <cell r="D822" t="str">
            <v>BOYACA</v>
          </cell>
          <cell r="E822">
            <v>1777</v>
          </cell>
          <cell r="F822">
            <v>194</v>
          </cell>
          <cell r="G822" t="str">
            <v>C</v>
          </cell>
          <cell r="R822">
            <v>0</v>
          </cell>
        </row>
        <row r="823">
          <cell r="C823" t="str">
            <v>SAN LUIS DE PALENQUE</v>
          </cell>
          <cell r="D823" t="str">
            <v>CASANARE</v>
          </cell>
          <cell r="E823">
            <v>1775</v>
          </cell>
          <cell r="F823">
            <v>106</v>
          </cell>
          <cell r="G823" t="str">
            <v>D</v>
          </cell>
          <cell r="R823">
            <v>0</v>
          </cell>
        </row>
        <row r="824">
          <cell r="C824" t="str">
            <v>NUNCHIA</v>
          </cell>
          <cell r="D824" t="str">
            <v>CASANARE</v>
          </cell>
          <cell r="E824">
            <v>1774</v>
          </cell>
          <cell r="F824">
            <v>99</v>
          </cell>
          <cell r="G824" t="str">
            <v>D</v>
          </cell>
          <cell r="R824">
            <v>0</v>
          </cell>
        </row>
        <row r="825">
          <cell r="C825" t="str">
            <v>VILLACARO</v>
          </cell>
          <cell r="D825" t="str">
            <v>NORTE DE SANTANDER</v>
          </cell>
          <cell r="E825">
            <v>1771</v>
          </cell>
          <cell r="F825">
            <v>81</v>
          </cell>
          <cell r="G825" t="str">
            <v>B</v>
          </cell>
          <cell r="R825">
            <v>0</v>
          </cell>
        </row>
        <row r="826">
          <cell r="C826" t="str">
            <v>PUERTO SOLANO</v>
          </cell>
          <cell r="D826" t="str">
            <v>CAQUETA</v>
          </cell>
          <cell r="E826">
            <v>1765</v>
          </cell>
          <cell r="F826">
            <v>0</v>
          </cell>
          <cell r="G826" t="str">
            <v>F</v>
          </cell>
          <cell r="R826">
            <v>0</v>
          </cell>
        </row>
        <row r="827">
          <cell r="C827" t="str">
            <v>YUTO</v>
          </cell>
          <cell r="D827" t="str">
            <v>CHOCO</v>
          </cell>
          <cell r="E827">
            <v>1763</v>
          </cell>
          <cell r="F827">
            <v>0</v>
          </cell>
          <cell r="G827" t="str">
            <v>A</v>
          </cell>
          <cell r="R827">
            <v>0</v>
          </cell>
        </row>
        <row r="828">
          <cell r="C828" t="str">
            <v>COCONUCO</v>
          </cell>
          <cell r="D828" t="str">
            <v>CAUCA</v>
          </cell>
          <cell r="E828">
            <v>1753</v>
          </cell>
          <cell r="F828">
            <v>81</v>
          </cell>
          <cell r="G828" t="str">
            <v>C</v>
          </cell>
          <cell r="R828">
            <v>0</v>
          </cell>
        </row>
        <row r="829">
          <cell r="C829" t="str">
            <v>SAN JACINTO DEL CAUCA</v>
          </cell>
          <cell r="D829" t="str">
            <v>BOLIVAR</v>
          </cell>
          <cell r="E829">
            <v>1749</v>
          </cell>
          <cell r="F829">
            <v>46</v>
          </cell>
          <cell r="G829" t="str">
            <v>A</v>
          </cell>
          <cell r="R829">
            <v>0</v>
          </cell>
        </row>
        <row r="830">
          <cell r="C830" t="str">
            <v>MONGUA</v>
          </cell>
          <cell r="D830" t="str">
            <v>BOYACA</v>
          </cell>
          <cell r="E830">
            <v>1744</v>
          </cell>
          <cell r="F830">
            <v>133</v>
          </cell>
          <cell r="G830" t="str">
            <v>C</v>
          </cell>
          <cell r="R830">
            <v>0</v>
          </cell>
        </row>
        <row r="831">
          <cell r="C831" t="str">
            <v>ARMENIA</v>
          </cell>
          <cell r="D831" t="str">
            <v>ANTIOQUIA</v>
          </cell>
          <cell r="E831">
            <v>1742</v>
          </cell>
          <cell r="F831">
            <v>108</v>
          </cell>
          <cell r="G831" t="str">
            <v>E</v>
          </cell>
          <cell r="R831">
            <v>0</v>
          </cell>
        </row>
        <row r="832">
          <cell r="C832" t="str">
            <v>BALBOA</v>
          </cell>
          <cell r="D832" t="str">
            <v>RISARALDA</v>
          </cell>
          <cell r="E832">
            <v>1737</v>
          </cell>
          <cell r="F832">
            <v>146</v>
          </cell>
          <cell r="G832" t="str">
            <v>E</v>
          </cell>
          <cell r="R832">
            <v>0</v>
          </cell>
          <cell r="X832">
            <v>1</v>
          </cell>
        </row>
        <row r="833">
          <cell r="C833" t="str">
            <v>GUATAVITA</v>
          </cell>
          <cell r="D833" t="str">
            <v>CUNDINAMARCA</v>
          </cell>
          <cell r="E833">
            <v>1736</v>
          </cell>
          <cell r="F833">
            <v>210</v>
          </cell>
          <cell r="G833" t="str">
            <v>E</v>
          </cell>
          <cell r="R833">
            <v>0</v>
          </cell>
        </row>
        <row r="834">
          <cell r="C834" t="str">
            <v>ILES</v>
          </cell>
          <cell r="D834" t="str">
            <v>NARIÑO</v>
          </cell>
          <cell r="E834">
            <v>1733</v>
          </cell>
          <cell r="F834">
            <v>77</v>
          </cell>
          <cell r="G834" t="str">
            <v>B</v>
          </cell>
          <cell r="R834">
            <v>0</v>
          </cell>
        </row>
        <row r="835">
          <cell r="C835" t="str">
            <v>RONCESVALLES</v>
          </cell>
          <cell r="D835" t="str">
            <v>TOLIMA</v>
          </cell>
          <cell r="E835">
            <v>1727</v>
          </cell>
          <cell r="F835">
            <v>143</v>
          </cell>
          <cell r="G835" t="str">
            <v>D</v>
          </cell>
          <cell r="R835">
            <v>0</v>
          </cell>
        </row>
        <row r="836">
          <cell r="C836" t="str">
            <v>CUBARA</v>
          </cell>
          <cell r="D836" t="str">
            <v>BOYACA</v>
          </cell>
          <cell r="E836">
            <v>1726</v>
          </cell>
          <cell r="F836">
            <v>168</v>
          </cell>
          <cell r="G836" t="str">
            <v>A</v>
          </cell>
          <cell r="R836">
            <v>0</v>
          </cell>
        </row>
        <row r="837">
          <cell r="C837" t="str">
            <v>PALESTINA</v>
          </cell>
          <cell r="D837" t="str">
            <v>HUILA</v>
          </cell>
          <cell r="E837">
            <v>1719</v>
          </cell>
          <cell r="F837">
            <v>70</v>
          </cell>
          <cell r="G837" t="str">
            <v>D</v>
          </cell>
          <cell r="R837">
            <v>0</v>
          </cell>
        </row>
        <row r="838">
          <cell r="C838" t="str">
            <v>CONSACA</v>
          </cell>
          <cell r="D838" t="str">
            <v>NARIÑO</v>
          </cell>
          <cell r="E838">
            <v>1712</v>
          </cell>
          <cell r="F838">
            <v>30</v>
          </cell>
          <cell r="G838" t="str">
            <v>C</v>
          </cell>
          <cell r="R838">
            <v>0</v>
          </cell>
          <cell r="X838">
            <v>1</v>
          </cell>
        </row>
        <row r="839">
          <cell r="C839" t="str">
            <v>TORIBIO</v>
          </cell>
          <cell r="D839" t="str">
            <v>CAUCA</v>
          </cell>
          <cell r="E839">
            <v>1699</v>
          </cell>
          <cell r="F839">
            <v>115</v>
          </cell>
          <cell r="G839" t="str">
            <v>C</v>
          </cell>
          <cell r="R839">
            <v>0</v>
          </cell>
        </row>
        <row r="840">
          <cell r="C840" t="str">
            <v>BELMIRA</v>
          </cell>
          <cell r="D840" t="str">
            <v>ANTIOQUIA</v>
          </cell>
          <cell r="E840">
            <v>1693</v>
          </cell>
          <cell r="F840">
            <v>106</v>
          </cell>
          <cell r="G840" t="str">
            <v>C</v>
          </cell>
          <cell r="R840">
            <v>0</v>
          </cell>
        </row>
        <row r="841">
          <cell r="C841" t="str">
            <v>ZIPACON</v>
          </cell>
          <cell r="D841" t="str">
            <v>CUNDINAMARCA</v>
          </cell>
          <cell r="E841">
            <v>1682</v>
          </cell>
          <cell r="F841">
            <v>83</v>
          </cell>
          <cell r="G841" t="str">
            <v>D</v>
          </cell>
          <cell r="R841">
            <v>0</v>
          </cell>
          <cell r="X841">
            <v>1</v>
          </cell>
        </row>
        <row r="842">
          <cell r="C842" t="str">
            <v>CHIVATA</v>
          </cell>
          <cell r="D842" t="str">
            <v>BOYACA</v>
          </cell>
          <cell r="E842">
            <v>1678</v>
          </cell>
          <cell r="F842">
            <v>47</v>
          </cell>
          <cell r="G842" t="str">
            <v>B</v>
          </cell>
          <cell r="R842">
            <v>0</v>
          </cell>
        </row>
        <row r="843">
          <cell r="C843" t="str">
            <v>LA BELLEZA</v>
          </cell>
          <cell r="D843" t="str">
            <v>SANTANDER</v>
          </cell>
          <cell r="E843">
            <v>1675</v>
          </cell>
          <cell r="F843">
            <v>179</v>
          </cell>
          <cell r="G843" t="str">
            <v>E</v>
          </cell>
          <cell r="R843">
            <v>0</v>
          </cell>
          <cell r="X843">
            <v>1</v>
          </cell>
        </row>
        <row r="844">
          <cell r="C844" t="str">
            <v>CUMBAL</v>
          </cell>
          <cell r="D844" t="str">
            <v>NARIÑO</v>
          </cell>
          <cell r="E844">
            <v>1672</v>
          </cell>
          <cell r="F844">
            <v>63</v>
          </cell>
          <cell r="G844" t="str">
            <v>F</v>
          </cell>
          <cell r="R844">
            <v>0</v>
          </cell>
          <cell r="X844">
            <v>1</v>
          </cell>
        </row>
        <row r="845">
          <cell r="C845" t="str">
            <v>CARMEN DE CARUPA</v>
          </cell>
          <cell r="D845" t="str">
            <v>CUNDINAMARCA</v>
          </cell>
          <cell r="E845">
            <v>1667</v>
          </cell>
          <cell r="F845">
            <v>163</v>
          </cell>
          <cell r="G845" t="str">
            <v>D</v>
          </cell>
          <cell r="R845">
            <v>0</v>
          </cell>
          <cell r="X845">
            <v>1</v>
          </cell>
        </row>
        <row r="846">
          <cell r="C846" t="str">
            <v>FALAN</v>
          </cell>
          <cell r="D846" t="str">
            <v>TOLIMA</v>
          </cell>
          <cell r="E846">
            <v>1659</v>
          </cell>
          <cell r="F846">
            <v>126</v>
          </cell>
          <cell r="G846" t="str">
            <v>E</v>
          </cell>
          <cell r="R846">
            <v>0</v>
          </cell>
          <cell r="X846">
            <v>1</v>
          </cell>
        </row>
        <row r="847">
          <cell r="C847" t="str">
            <v>GUADALUPE</v>
          </cell>
          <cell r="D847" t="str">
            <v>SANTANDER</v>
          </cell>
          <cell r="E847">
            <v>1650</v>
          </cell>
          <cell r="F847">
            <v>132</v>
          </cell>
          <cell r="G847" t="str">
            <v>E</v>
          </cell>
          <cell r="R847">
            <v>0</v>
          </cell>
        </row>
        <row r="848">
          <cell r="C848" t="str">
            <v>SACHICA</v>
          </cell>
          <cell r="D848" t="str">
            <v>BOYACA</v>
          </cell>
          <cell r="E848">
            <v>1644</v>
          </cell>
          <cell r="F848">
            <v>82</v>
          </cell>
          <cell r="G848" t="str">
            <v>C</v>
          </cell>
          <cell r="R848">
            <v>0</v>
          </cell>
        </row>
        <row r="849">
          <cell r="C849" t="str">
            <v>MARGARITA</v>
          </cell>
          <cell r="D849" t="str">
            <v>BOLIVAR</v>
          </cell>
          <cell r="E849">
            <v>1640</v>
          </cell>
          <cell r="F849">
            <v>23</v>
          </cell>
          <cell r="G849" t="str">
            <v>B</v>
          </cell>
          <cell r="R849">
            <v>0</v>
          </cell>
        </row>
        <row r="850">
          <cell r="C850" t="str">
            <v>ALMAGUER</v>
          </cell>
          <cell r="D850" t="str">
            <v>CAUCA</v>
          </cell>
          <cell r="E850">
            <v>1637</v>
          </cell>
          <cell r="F850">
            <v>71</v>
          </cell>
          <cell r="G850" t="str">
            <v>B</v>
          </cell>
          <cell r="R850">
            <v>0</v>
          </cell>
        </row>
        <row r="851">
          <cell r="C851" t="str">
            <v>SAPUYES</v>
          </cell>
          <cell r="D851" t="str">
            <v>NARIÑO</v>
          </cell>
          <cell r="E851">
            <v>1636</v>
          </cell>
          <cell r="F851">
            <v>42</v>
          </cell>
          <cell r="G851" t="str">
            <v>C</v>
          </cell>
          <cell r="R851">
            <v>0</v>
          </cell>
        </row>
        <row r="852">
          <cell r="C852" t="str">
            <v>QUIPAMA</v>
          </cell>
          <cell r="D852" t="str">
            <v>BOYACA</v>
          </cell>
          <cell r="E852">
            <v>1619</v>
          </cell>
          <cell r="F852">
            <v>138</v>
          </cell>
          <cell r="G852" t="str">
            <v>C</v>
          </cell>
          <cell r="R852">
            <v>0</v>
          </cell>
        </row>
        <row r="853">
          <cell r="C853" t="str">
            <v>MORELIA</v>
          </cell>
          <cell r="D853" t="str">
            <v>CAQUETA</v>
          </cell>
          <cell r="E853">
            <v>1615</v>
          </cell>
          <cell r="F853">
            <v>71</v>
          </cell>
          <cell r="G853" t="str">
            <v>C</v>
          </cell>
          <cell r="R853">
            <v>0</v>
          </cell>
        </row>
        <row r="854">
          <cell r="C854" t="str">
            <v>PEQUE</v>
          </cell>
          <cell r="D854" t="str">
            <v>ANTIOQUIA</v>
          </cell>
          <cell r="E854">
            <v>1606</v>
          </cell>
          <cell r="F854">
            <v>121</v>
          </cell>
          <cell r="G854" t="str">
            <v>C</v>
          </cell>
          <cell r="R854">
            <v>0</v>
          </cell>
        </row>
        <row r="855">
          <cell r="C855" t="str">
            <v>MORALES</v>
          </cell>
          <cell r="D855" t="str">
            <v>CAUCA</v>
          </cell>
          <cell r="E855">
            <v>1594</v>
          </cell>
          <cell r="F855">
            <v>418</v>
          </cell>
          <cell r="G855" t="str">
            <v>D</v>
          </cell>
          <cell r="R855">
            <v>0</v>
          </cell>
          <cell r="X855">
            <v>1</v>
          </cell>
        </row>
        <row r="856">
          <cell r="C856" t="str">
            <v>SAN CAYETANO</v>
          </cell>
          <cell r="D856" t="str">
            <v>NORTE DE SANTANDER</v>
          </cell>
          <cell r="E856">
            <v>1593</v>
          </cell>
          <cell r="F856">
            <v>35</v>
          </cell>
          <cell r="G856" t="str">
            <v>D</v>
          </cell>
          <cell r="R856">
            <v>0</v>
          </cell>
        </row>
        <row r="857">
          <cell r="C857" t="str">
            <v>GRANADA</v>
          </cell>
          <cell r="D857" t="str">
            <v>CUNDINAMARCA</v>
          </cell>
          <cell r="E857">
            <v>1592</v>
          </cell>
          <cell r="F857">
            <v>159</v>
          </cell>
          <cell r="G857" t="str">
            <v>E</v>
          </cell>
          <cell r="R857">
            <v>0</v>
          </cell>
          <cell r="X857">
            <v>1</v>
          </cell>
        </row>
        <row r="858">
          <cell r="C858" t="str">
            <v>MIRAFLOREZ</v>
          </cell>
          <cell r="D858" t="str">
            <v>GUAVIARE</v>
          </cell>
          <cell r="E858">
            <v>1591</v>
          </cell>
          <cell r="F858">
            <v>0</v>
          </cell>
          <cell r="G858" t="str">
            <v>B</v>
          </cell>
          <cell r="R858">
            <v>0</v>
          </cell>
        </row>
        <row r="859">
          <cell r="C859" t="str">
            <v>JENESANO</v>
          </cell>
          <cell r="D859" t="str">
            <v>BOYACA</v>
          </cell>
          <cell r="E859">
            <v>1590</v>
          </cell>
          <cell r="F859">
            <v>237</v>
          </cell>
          <cell r="G859" t="str">
            <v>C</v>
          </cell>
          <cell r="R859">
            <v>0</v>
          </cell>
          <cell r="X859">
            <v>1</v>
          </cell>
        </row>
        <row r="860">
          <cell r="C860" t="str">
            <v>CUCAITA</v>
          </cell>
          <cell r="D860" t="str">
            <v>BOYACA</v>
          </cell>
          <cell r="E860">
            <v>1577</v>
          </cell>
          <cell r="F860">
            <v>163</v>
          </cell>
          <cell r="G860" t="str">
            <v>B</v>
          </cell>
          <cell r="R860">
            <v>0</v>
          </cell>
          <cell r="X860">
            <v>1</v>
          </cell>
        </row>
        <row r="861">
          <cell r="C861" t="str">
            <v>MURILLO</v>
          </cell>
          <cell r="D861" t="str">
            <v>TOLIMA</v>
          </cell>
          <cell r="E861">
            <v>1569</v>
          </cell>
          <cell r="F861">
            <v>199</v>
          </cell>
          <cell r="G861" t="str">
            <v>D</v>
          </cell>
          <cell r="R861">
            <v>0</v>
          </cell>
        </row>
        <row r="862">
          <cell r="C862" t="str">
            <v>UMBITA</v>
          </cell>
          <cell r="D862" t="str">
            <v>BOYACA</v>
          </cell>
          <cell r="E862">
            <v>1566</v>
          </cell>
          <cell r="F862">
            <v>171</v>
          </cell>
          <cell r="G862" t="str">
            <v>C</v>
          </cell>
          <cell r="R862">
            <v>0</v>
          </cell>
          <cell r="X862">
            <v>1</v>
          </cell>
        </row>
        <row r="863">
          <cell r="C863" t="str">
            <v>ALBAN</v>
          </cell>
          <cell r="D863" t="str">
            <v>CUNDINAMARCA</v>
          </cell>
          <cell r="E863">
            <v>1557</v>
          </cell>
          <cell r="F863">
            <v>92</v>
          </cell>
          <cell r="G863" t="str">
            <v>E</v>
          </cell>
          <cell r="R863">
            <v>0</v>
          </cell>
          <cell r="X863">
            <v>1</v>
          </cell>
        </row>
        <row r="864">
          <cell r="C864" t="str">
            <v>CORRALES</v>
          </cell>
          <cell r="D864" t="str">
            <v>BOYACA</v>
          </cell>
          <cell r="E864">
            <v>1543</v>
          </cell>
          <cell r="F864">
            <v>92</v>
          </cell>
          <cell r="G864" t="str">
            <v>C</v>
          </cell>
          <cell r="R864">
            <v>0</v>
          </cell>
        </row>
        <row r="865">
          <cell r="C865" t="str">
            <v>COELLO</v>
          </cell>
          <cell r="D865" t="str">
            <v>TOLIMA</v>
          </cell>
          <cell r="E865">
            <v>1531</v>
          </cell>
          <cell r="F865">
            <v>101</v>
          </cell>
          <cell r="G865" t="str">
            <v>E</v>
          </cell>
          <cell r="R865">
            <v>0</v>
          </cell>
        </row>
        <row r="866">
          <cell r="C866" t="str">
            <v>GONZALEZ</v>
          </cell>
          <cell r="D866" t="str">
            <v>CESAR</v>
          </cell>
          <cell r="E866">
            <v>1525</v>
          </cell>
          <cell r="F866">
            <v>51</v>
          </cell>
          <cell r="G866" t="str">
            <v>C</v>
          </cell>
          <cell r="R866">
            <v>0</v>
          </cell>
        </row>
        <row r="867">
          <cell r="C867" t="str">
            <v>TIBANA</v>
          </cell>
          <cell r="D867" t="str">
            <v>BOYACA</v>
          </cell>
          <cell r="E867">
            <v>1520</v>
          </cell>
          <cell r="F867">
            <v>227</v>
          </cell>
          <cell r="G867" t="str">
            <v>C</v>
          </cell>
          <cell r="R867">
            <v>0</v>
          </cell>
          <cell r="X867">
            <v>1</v>
          </cell>
        </row>
        <row r="868">
          <cell r="C868" t="str">
            <v>CACHIRA</v>
          </cell>
          <cell r="D868" t="str">
            <v>NORTE DE SANTANDER</v>
          </cell>
          <cell r="E868">
            <v>1516</v>
          </cell>
          <cell r="F868">
            <v>123</v>
          </cell>
          <cell r="G868" t="str">
            <v>E</v>
          </cell>
          <cell r="R868">
            <v>0</v>
          </cell>
        </row>
        <row r="869">
          <cell r="C869" t="str">
            <v>SAN ZENON</v>
          </cell>
          <cell r="D869" t="str">
            <v>MAGDALENA</v>
          </cell>
          <cell r="E869">
            <v>1504</v>
          </cell>
          <cell r="F869">
            <v>35</v>
          </cell>
          <cell r="G869" t="str">
            <v>A</v>
          </cell>
          <cell r="R869">
            <v>0</v>
          </cell>
        </row>
        <row r="870">
          <cell r="C870" t="str">
            <v>SABANALARGA</v>
          </cell>
          <cell r="D870" t="str">
            <v>CASANARE</v>
          </cell>
          <cell r="E870">
            <v>1500</v>
          </cell>
          <cell r="F870">
            <v>56</v>
          </cell>
          <cell r="G870" t="str">
            <v>C</v>
          </cell>
          <cell r="R870">
            <v>0</v>
          </cell>
        </row>
        <row r="871">
          <cell r="C871" t="str">
            <v>SAN JOSE</v>
          </cell>
          <cell r="D871" t="str">
            <v>CALDAS</v>
          </cell>
          <cell r="E871">
            <v>1496</v>
          </cell>
          <cell r="F871">
            <v>143</v>
          </cell>
          <cell r="G871" t="str">
            <v>D</v>
          </cell>
          <cell r="R871">
            <v>0</v>
          </cell>
        </row>
        <row r="872">
          <cell r="C872" t="str">
            <v>COLOMBIA </v>
          </cell>
          <cell r="D872" t="str">
            <v>HUILA</v>
          </cell>
          <cell r="E872">
            <v>1492</v>
          </cell>
          <cell r="F872">
            <v>77</v>
          </cell>
          <cell r="G872" t="str">
            <v>D</v>
          </cell>
          <cell r="R872">
            <v>0</v>
          </cell>
          <cell r="X872">
            <v>1</v>
          </cell>
        </row>
        <row r="873">
          <cell r="C873" t="str">
            <v>PIEDRANCHA</v>
          </cell>
          <cell r="D873" t="str">
            <v>NARIÑO</v>
          </cell>
          <cell r="E873">
            <v>1484</v>
          </cell>
          <cell r="F873">
            <v>18</v>
          </cell>
          <cell r="G873" t="str">
            <v>C</v>
          </cell>
          <cell r="R873">
            <v>0</v>
          </cell>
        </row>
        <row r="874">
          <cell r="C874" t="str">
            <v>CASABIANCA</v>
          </cell>
          <cell r="D874" t="str">
            <v>TOLIMA</v>
          </cell>
          <cell r="E874">
            <v>1478</v>
          </cell>
          <cell r="F874">
            <v>127</v>
          </cell>
          <cell r="G874" t="str">
            <v>E</v>
          </cell>
          <cell r="R874">
            <v>0</v>
          </cell>
        </row>
        <row r="875">
          <cell r="C875" t="str">
            <v>FOSCA</v>
          </cell>
          <cell r="D875" t="str">
            <v>CUNDINAMARCA</v>
          </cell>
          <cell r="E875">
            <v>1475</v>
          </cell>
          <cell r="F875">
            <v>85</v>
          </cell>
          <cell r="G875" t="str">
            <v>D</v>
          </cell>
          <cell r="R875">
            <v>0</v>
          </cell>
        </row>
        <row r="876">
          <cell r="C876" t="str">
            <v>CERINZA</v>
          </cell>
          <cell r="D876" t="str">
            <v>BOYACA</v>
          </cell>
          <cell r="E876">
            <v>1473</v>
          </cell>
          <cell r="F876">
            <v>153</v>
          </cell>
          <cell r="G876" t="str">
            <v>D</v>
          </cell>
          <cell r="R876">
            <v>0</v>
          </cell>
        </row>
        <row r="877">
          <cell r="C877" t="str">
            <v>CABUYARO</v>
          </cell>
          <cell r="D877" t="str">
            <v>META</v>
          </cell>
          <cell r="E877">
            <v>1470</v>
          </cell>
          <cell r="F877">
            <v>80</v>
          </cell>
          <cell r="G877" t="str">
            <v>C</v>
          </cell>
          <cell r="R877">
            <v>0</v>
          </cell>
          <cell r="X877">
            <v>1</v>
          </cell>
        </row>
        <row r="878">
          <cell r="C878" t="str">
            <v>ROSAS</v>
          </cell>
          <cell r="D878" t="str">
            <v>CAUCA</v>
          </cell>
          <cell r="E878">
            <v>1469</v>
          </cell>
          <cell r="F878">
            <v>139</v>
          </cell>
          <cell r="G878" t="str">
            <v>E</v>
          </cell>
          <cell r="R878">
            <v>0</v>
          </cell>
        </row>
        <row r="879">
          <cell r="C879" t="str">
            <v>CONCEPCION</v>
          </cell>
          <cell r="D879" t="str">
            <v>ANTIOQUIA</v>
          </cell>
          <cell r="E879">
            <v>1467</v>
          </cell>
          <cell r="F879">
            <v>120</v>
          </cell>
          <cell r="G879" t="str">
            <v>D</v>
          </cell>
          <cell r="R879">
            <v>0</v>
          </cell>
        </row>
        <row r="880">
          <cell r="C880" t="str">
            <v>CAICEDO</v>
          </cell>
          <cell r="D880" t="str">
            <v>ANTIOQUIA</v>
          </cell>
          <cell r="E880">
            <v>1456</v>
          </cell>
          <cell r="F880">
            <v>146</v>
          </cell>
          <cell r="G880" t="str">
            <v>C</v>
          </cell>
          <cell r="R880">
            <v>0</v>
          </cell>
        </row>
        <row r="881">
          <cell r="C881" t="str">
            <v>SAN MATEO</v>
          </cell>
          <cell r="D881" t="str">
            <v>BOYACA</v>
          </cell>
          <cell r="E881">
            <v>1427</v>
          </cell>
          <cell r="F881">
            <v>117</v>
          </cell>
          <cell r="G881" t="str">
            <v>C</v>
          </cell>
          <cell r="R881">
            <v>0</v>
          </cell>
          <cell r="X881">
            <v>1</v>
          </cell>
        </row>
        <row r="882">
          <cell r="C882" t="str">
            <v>LA SIERRA</v>
          </cell>
          <cell r="D882" t="str">
            <v>CAUCA</v>
          </cell>
          <cell r="E882">
            <v>1426</v>
          </cell>
          <cell r="F882">
            <v>67</v>
          </cell>
          <cell r="G882" t="str">
            <v>C</v>
          </cell>
          <cell r="R882">
            <v>0</v>
          </cell>
        </row>
        <row r="883">
          <cell r="C883" t="str">
            <v>MACHETA</v>
          </cell>
          <cell r="D883" t="str">
            <v>CUNDINAMARCA</v>
          </cell>
          <cell r="E883">
            <v>1415</v>
          </cell>
          <cell r="F883">
            <v>259</v>
          </cell>
          <cell r="G883" t="str">
            <v>D</v>
          </cell>
          <cell r="R883">
            <v>0</v>
          </cell>
          <cell r="X883">
            <v>1</v>
          </cell>
        </row>
        <row r="884">
          <cell r="C884" t="str">
            <v>GAMEZA</v>
          </cell>
          <cell r="D884" t="str">
            <v>BOYACA</v>
          </cell>
          <cell r="E884">
            <v>1415</v>
          </cell>
          <cell r="F884">
            <v>120</v>
          </cell>
          <cell r="G884" t="str">
            <v>D</v>
          </cell>
          <cell r="R884">
            <v>0</v>
          </cell>
        </row>
        <row r="885">
          <cell r="C885" t="str">
            <v>BOLIVAR</v>
          </cell>
          <cell r="D885" t="str">
            <v>SANTANDER</v>
          </cell>
          <cell r="E885">
            <v>1394</v>
          </cell>
          <cell r="F885">
            <v>190</v>
          </cell>
          <cell r="G885" t="str">
            <v>E</v>
          </cell>
          <cell r="R885">
            <v>0</v>
          </cell>
          <cell r="X885">
            <v>1</v>
          </cell>
        </row>
        <row r="886">
          <cell r="C886" t="str">
            <v>TOTORO</v>
          </cell>
          <cell r="D886" t="str">
            <v>CAUCA</v>
          </cell>
          <cell r="E886">
            <v>1394</v>
          </cell>
          <cell r="F886">
            <v>75</v>
          </cell>
          <cell r="G886" t="str">
            <v>C</v>
          </cell>
          <cell r="R886">
            <v>0</v>
          </cell>
        </row>
        <row r="887">
          <cell r="C887" t="str">
            <v>SANTA ROSA </v>
          </cell>
          <cell r="D887" t="str">
            <v>CAUCA</v>
          </cell>
          <cell r="E887">
            <v>1393</v>
          </cell>
          <cell r="F887">
            <v>1</v>
          </cell>
          <cell r="G887" t="str">
            <v>B</v>
          </cell>
          <cell r="R887">
            <v>0</v>
          </cell>
        </row>
        <row r="888">
          <cell r="C888" t="str">
            <v>SUCRE</v>
          </cell>
          <cell r="D888" t="str">
            <v>CAUCA</v>
          </cell>
          <cell r="E888">
            <v>1381</v>
          </cell>
          <cell r="F888">
            <v>42</v>
          </cell>
          <cell r="G888" t="str">
            <v>A</v>
          </cell>
          <cell r="R888">
            <v>0</v>
          </cell>
        </row>
        <row r="889">
          <cell r="C889" t="str">
            <v>CALDONO</v>
          </cell>
          <cell r="D889" t="str">
            <v>CAUCA</v>
          </cell>
          <cell r="E889">
            <v>1364</v>
          </cell>
          <cell r="F889">
            <v>77</v>
          </cell>
          <cell r="G889" t="str">
            <v>C</v>
          </cell>
          <cell r="R889">
            <v>0</v>
          </cell>
        </row>
        <row r="890">
          <cell r="C890" t="str">
            <v>CUMBITARA</v>
          </cell>
          <cell r="D890" t="str">
            <v>NARIÑO</v>
          </cell>
          <cell r="E890">
            <v>1358</v>
          </cell>
          <cell r="F890">
            <v>63</v>
          </cell>
          <cell r="G890" t="str">
            <v>C</v>
          </cell>
          <cell r="R890">
            <v>0</v>
          </cell>
        </row>
        <row r="891">
          <cell r="C891" t="str">
            <v>SUPATA</v>
          </cell>
          <cell r="D891" t="str">
            <v>CUNDINAMARCA</v>
          </cell>
          <cell r="E891">
            <v>1353</v>
          </cell>
          <cell r="F891">
            <v>164</v>
          </cell>
          <cell r="G891" t="str">
            <v>D</v>
          </cell>
          <cell r="R891">
            <v>0</v>
          </cell>
          <cell r="X891">
            <v>1</v>
          </cell>
        </row>
        <row r="892">
          <cell r="C892" t="str">
            <v>SUTATAUSA</v>
          </cell>
          <cell r="D892" t="str">
            <v>CUNDINAMARCA</v>
          </cell>
          <cell r="E892">
            <v>1348</v>
          </cell>
          <cell r="F892">
            <v>79</v>
          </cell>
          <cell r="G892" t="str">
            <v>D</v>
          </cell>
          <cell r="R892">
            <v>0</v>
          </cell>
          <cell r="X892">
            <v>2</v>
          </cell>
        </row>
        <row r="893">
          <cell r="C893" t="str">
            <v>LA ESPERANZA</v>
          </cell>
          <cell r="D893" t="str">
            <v>NORTE DE SANTANDER</v>
          </cell>
          <cell r="E893">
            <v>1341</v>
          </cell>
          <cell r="F893">
            <v>42</v>
          </cell>
          <cell r="G893" t="str">
            <v>D</v>
          </cell>
          <cell r="R893">
            <v>0</v>
          </cell>
        </row>
        <row r="894">
          <cell r="C894" t="str">
            <v>QUETAME</v>
          </cell>
          <cell r="D894" t="str">
            <v>CUNDINAMARCA</v>
          </cell>
          <cell r="E894">
            <v>1335</v>
          </cell>
          <cell r="F894">
            <v>53</v>
          </cell>
          <cell r="G894" t="str">
            <v>D</v>
          </cell>
          <cell r="R894">
            <v>0</v>
          </cell>
          <cell r="X894">
            <v>1</v>
          </cell>
        </row>
        <row r="895">
          <cell r="C895" t="str">
            <v>FLORENCIA</v>
          </cell>
          <cell r="D895" t="str">
            <v>CAUCA</v>
          </cell>
          <cell r="E895">
            <v>1318</v>
          </cell>
          <cell r="F895">
            <v>56</v>
          </cell>
          <cell r="G895" t="str">
            <v>C</v>
          </cell>
          <cell r="R895">
            <v>0</v>
          </cell>
        </row>
        <row r="896">
          <cell r="C896" t="str">
            <v>GUAYABETAL</v>
          </cell>
          <cell r="D896" t="str">
            <v>CUNDINAMARCA</v>
          </cell>
          <cell r="E896">
            <v>1315</v>
          </cell>
          <cell r="F896">
            <v>121</v>
          </cell>
          <cell r="G896" t="str">
            <v>D</v>
          </cell>
          <cell r="R896">
            <v>0</v>
          </cell>
          <cell r="X896">
            <v>1</v>
          </cell>
        </row>
        <row r="897">
          <cell r="C897" t="str">
            <v>GUICAN</v>
          </cell>
          <cell r="D897" t="str">
            <v>BOYACA</v>
          </cell>
          <cell r="E897">
            <v>1307</v>
          </cell>
          <cell r="F897">
            <v>149</v>
          </cell>
          <cell r="G897" t="str">
            <v>B</v>
          </cell>
          <cell r="R897">
            <v>0</v>
          </cell>
          <cell r="X897">
            <v>1</v>
          </cell>
        </row>
        <row r="898">
          <cell r="C898" t="str">
            <v>FLORIAN</v>
          </cell>
          <cell r="D898" t="str">
            <v>SANTANDER</v>
          </cell>
          <cell r="E898">
            <v>1306</v>
          </cell>
          <cell r="F898">
            <v>23</v>
          </cell>
          <cell r="G898" t="str">
            <v>E</v>
          </cell>
          <cell r="R898">
            <v>0</v>
          </cell>
        </row>
        <row r="899">
          <cell r="C899" t="str">
            <v>EL DORADO</v>
          </cell>
          <cell r="D899" t="str">
            <v>META</v>
          </cell>
          <cell r="E899">
            <v>1300</v>
          </cell>
          <cell r="F899">
            <v>39</v>
          </cell>
          <cell r="G899" t="str">
            <v>B</v>
          </cell>
          <cell r="R899">
            <v>0</v>
          </cell>
        </row>
        <row r="900">
          <cell r="C900" t="str">
            <v>GENOVA</v>
          </cell>
          <cell r="D900" t="str">
            <v>NARIÑO</v>
          </cell>
          <cell r="E900">
            <v>1297</v>
          </cell>
          <cell r="F900">
            <v>21</v>
          </cell>
          <cell r="G900" t="str">
            <v>C</v>
          </cell>
          <cell r="R900">
            <v>0</v>
          </cell>
        </row>
        <row r="901">
          <cell r="C901" t="str">
            <v>GUAYATA</v>
          </cell>
          <cell r="D901" t="str">
            <v>BOYACA</v>
          </cell>
          <cell r="E901">
            <v>1296</v>
          </cell>
          <cell r="F901">
            <v>178</v>
          </cell>
          <cell r="G901" t="str">
            <v>C</v>
          </cell>
          <cell r="R901">
            <v>0</v>
          </cell>
        </row>
        <row r="902">
          <cell r="C902" t="str">
            <v>LABATECA</v>
          </cell>
          <cell r="D902" t="str">
            <v>NORTE DE SANTANDER</v>
          </cell>
          <cell r="E902">
            <v>1291</v>
          </cell>
          <cell r="F902">
            <v>130</v>
          </cell>
          <cell r="G902" t="str">
            <v>B</v>
          </cell>
          <cell r="R902">
            <v>0</v>
          </cell>
        </row>
        <row r="903">
          <cell r="C903" t="str">
            <v>LOS SANTOS</v>
          </cell>
          <cell r="D903" t="str">
            <v>SANTANDER</v>
          </cell>
          <cell r="E903">
            <v>1280</v>
          </cell>
          <cell r="F903">
            <v>208</v>
          </cell>
          <cell r="G903" t="str">
            <v>D</v>
          </cell>
          <cell r="R903">
            <v>0</v>
          </cell>
          <cell r="X903">
            <v>1</v>
          </cell>
        </row>
        <row r="904">
          <cell r="C904" t="str">
            <v>CUCUTILLA</v>
          </cell>
          <cell r="D904" t="str">
            <v>NORTE DE SANTANDER</v>
          </cell>
          <cell r="E904">
            <v>1275</v>
          </cell>
          <cell r="F904">
            <v>70</v>
          </cell>
          <cell r="G904" t="str">
            <v>E</v>
          </cell>
          <cell r="R904">
            <v>0</v>
          </cell>
        </row>
        <row r="905">
          <cell r="C905" t="str">
            <v>TOLEDO</v>
          </cell>
          <cell r="D905" t="str">
            <v>ANTIOQUIA</v>
          </cell>
          <cell r="E905">
            <v>1274</v>
          </cell>
          <cell r="F905">
            <v>147</v>
          </cell>
          <cell r="G905" t="str">
            <v>D</v>
          </cell>
          <cell r="R905">
            <v>0</v>
          </cell>
        </row>
        <row r="906">
          <cell r="C906" t="str">
            <v>PUERTO MILAN</v>
          </cell>
          <cell r="D906" t="str">
            <v>CAQUETA</v>
          </cell>
          <cell r="E906">
            <v>1259</v>
          </cell>
          <cell r="F906">
            <v>37</v>
          </cell>
          <cell r="G906" t="str">
            <v>C</v>
          </cell>
          <cell r="R906">
            <v>0</v>
          </cell>
        </row>
        <row r="907">
          <cell r="C907" t="str">
            <v>CIENEGA</v>
          </cell>
          <cell r="D907" t="str">
            <v>BOYACA</v>
          </cell>
          <cell r="E907">
            <v>1240</v>
          </cell>
          <cell r="F907">
            <v>114</v>
          </cell>
          <cell r="G907" t="str">
            <v>C</v>
          </cell>
          <cell r="R907">
            <v>0</v>
          </cell>
          <cell r="X907">
            <v>1</v>
          </cell>
        </row>
        <row r="908">
          <cell r="C908" t="str">
            <v>SUTAMARCHAN</v>
          </cell>
          <cell r="D908" t="str">
            <v>BOYACA</v>
          </cell>
          <cell r="E908">
            <v>1238</v>
          </cell>
          <cell r="F908">
            <v>222</v>
          </cell>
          <cell r="G908" t="str">
            <v>D</v>
          </cell>
          <cell r="R908">
            <v>0</v>
          </cell>
          <cell r="X908">
            <v>1</v>
          </cell>
        </row>
        <row r="909">
          <cell r="C909" t="str">
            <v>TOPAGA</v>
          </cell>
          <cell r="D909" t="str">
            <v>BOYACA</v>
          </cell>
          <cell r="E909">
            <v>1237</v>
          </cell>
          <cell r="F909">
            <v>95</v>
          </cell>
          <cell r="G909" t="str">
            <v>D</v>
          </cell>
          <cell r="R909">
            <v>0</v>
          </cell>
        </row>
        <row r="910">
          <cell r="C910" t="str">
            <v>VERGARA</v>
          </cell>
          <cell r="D910" t="str">
            <v>CUNDINAMARCA</v>
          </cell>
          <cell r="E910">
            <v>1236</v>
          </cell>
          <cell r="F910">
            <v>148</v>
          </cell>
          <cell r="G910" t="str">
            <v>D</v>
          </cell>
          <cell r="R910">
            <v>0</v>
          </cell>
          <cell r="X910">
            <v>2</v>
          </cell>
        </row>
        <row r="911">
          <cell r="C911" t="str">
            <v>JURADO</v>
          </cell>
          <cell r="D911" t="str">
            <v>CHOCO</v>
          </cell>
          <cell r="E911">
            <v>1227</v>
          </cell>
          <cell r="F911">
            <v>0</v>
          </cell>
          <cell r="G911" t="str">
            <v>A</v>
          </cell>
          <cell r="R911">
            <v>0</v>
          </cell>
        </row>
        <row r="912">
          <cell r="C912" t="str">
            <v>LOURDES</v>
          </cell>
          <cell r="D912" t="str">
            <v>NORTE DE SANTANDER</v>
          </cell>
          <cell r="E912">
            <v>1211</v>
          </cell>
          <cell r="F912">
            <v>148</v>
          </cell>
          <cell r="G912" t="str">
            <v>B</v>
          </cell>
          <cell r="R912">
            <v>0</v>
          </cell>
        </row>
        <row r="913">
          <cell r="C913" t="str">
            <v>GIRALDO</v>
          </cell>
          <cell r="D913" t="str">
            <v>ANTIOQUIA</v>
          </cell>
          <cell r="E913">
            <v>1205</v>
          </cell>
          <cell r="F913">
            <v>62</v>
          </cell>
          <cell r="G913" t="str">
            <v>C</v>
          </cell>
          <cell r="R913">
            <v>0</v>
          </cell>
        </row>
        <row r="914">
          <cell r="C914" t="str">
            <v>FLORESTA</v>
          </cell>
          <cell r="D914" t="str">
            <v>BOYACA</v>
          </cell>
          <cell r="E914">
            <v>1203</v>
          </cell>
          <cell r="F914">
            <v>108</v>
          </cell>
          <cell r="G914" t="str">
            <v>D</v>
          </cell>
          <cell r="R914">
            <v>0</v>
          </cell>
          <cell r="X914">
            <v>1</v>
          </cell>
        </row>
        <row r="915">
          <cell r="C915" t="str">
            <v>EL ESPINO</v>
          </cell>
          <cell r="D915" t="str">
            <v>BOYACA</v>
          </cell>
          <cell r="E915">
            <v>1201</v>
          </cell>
          <cell r="F915">
            <v>103</v>
          </cell>
          <cell r="G915" t="str">
            <v>B</v>
          </cell>
          <cell r="R915">
            <v>0</v>
          </cell>
        </row>
        <row r="916">
          <cell r="C916" t="str">
            <v>VIANI</v>
          </cell>
          <cell r="D916" t="str">
            <v>CUNDINAMARCA</v>
          </cell>
          <cell r="E916">
            <v>1190</v>
          </cell>
          <cell r="F916">
            <v>108</v>
          </cell>
          <cell r="G916" t="str">
            <v>E</v>
          </cell>
          <cell r="R916">
            <v>0</v>
          </cell>
          <cell r="X916">
            <v>1</v>
          </cell>
        </row>
        <row r="917">
          <cell r="C917" t="str">
            <v>UBALA </v>
          </cell>
          <cell r="D917" t="str">
            <v>CUNDINAMARCA</v>
          </cell>
          <cell r="E917">
            <v>1188</v>
          </cell>
          <cell r="F917">
            <v>103</v>
          </cell>
          <cell r="G917" t="str">
            <v>E</v>
          </cell>
          <cell r="R917">
            <v>0</v>
          </cell>
          <cell r="X917">
            <v>1</v>
          </cell>
        </row>
        <row r="918">
          <cell r="C918" t="str">
            <v>SANTIAGO</v>
          </cell>
          <cell r="D918" t="str">
            <v>NORTE DE SANTANDER</v>
          </cell>
          <cell r="E918">
            <v>1187</v>
          </cell>
          <cell r="F918">
            <v>82</v>
          </cell>
          <cell r="G918" t="str">
            <v>B</v>
          </cell>
          <cell r="R918">
            <v>0</v>
          </cell>
        </row>
        <row r="919">
          <cell r="C919" t="str">
            <v>TENZA</v>
          </cell>
          <cell r="D919" t="str">
            <v>BOYACA</v>
          </cell>
          <cell r="E919">
            <v>1181</v>
          </cell>
          <cell r="F919">
            <v>171</v>
          </cell>
          <cell r="G919" t="str">
            <v>C</v>
          </cell>
          <cell r="R919">
            <v>0</v>
          </cell>
        </row>
        <row r="920">
          <cell r="C920" t="str">
            <v>BUENAVISTA</v>
          </cell>
          <cell r="D920" t="str">
            <v>QUINDIO</v>
          </cell>
          <cell r="E920">
            <v>1173</v>
          </cell>
          <cell r="F920">
            <v>74</v>
          </cell>
          <cell r="G920" t="str">
            <v>B</v>
          </cell>
          <cell r="R920">
            <v>0</v>
          </cell>
          <cell r="X920">
            <v>1</v>
          </cell>
        </row>
        <row r="921">
          <cell r="C921" t="str">
            <v>CHINAVITA</v>
          </cell>
          <cell r="D921" t="str">
            <v>BOYACA</v>
          </cell>
          <cell r="E921">
            <v>1163</v>
          </cell>
          <cell r="F921">
            <v>165</v>
          </cell>
          <cell r="G921" t="str">
            <v>C</v>
          </cell>
          <cell r="R921">
            <v>0</v>
          </cell>
          <cell r="X921">
            <v>1</v>
          </cell>
        </row>
        <row r="922">
          <cell r="C922" t="str">
            <v>ONZAGA</v>
          </cell>
          <cell r="D922" t="str">
            <v>SANTANDER</v>
          </cell>
          <cell r="E922">
            <v>1160</v>
          </cell>
          <cell r="F922">
            <v>181</v>
          </cell>
          <cell r="G922" t="str">
            <v>C</v>
          </cell>
          <cell r="R922">
            <v>0</v>
          </cell>
          <cell r="X922">
            <v>1</v>
          </cell>
        </row>
        <row r="923">
          <cell r="C923" t="str">
            <v>BETULIA</v>
          </cell>
          <cell r="D923" t="str">
            <v>SANTANDER</v>
          </cell>
          <cell r="E923">
            <v>1159</v>
          </cell>
          <cell r="F923">
            <v>66</v>
          </cell>
          <cell r="G923" t="str">
            <v>D</v>
          </cell>
          <cell r="R923">
            <v>0</v>
          </cell>
        </row>
        <row r="924">
          <cell r="C924" t="str">
            <v>ANZA</v>
          </cell>
          <cell r="D924" t="str">
            <v>ANTIOQUIA</v>
          </cell>
          <cell r="E924">
            <v>1157</v>
          </cell>
          <cell r="F924">
            <v>59</v>
          </cell>
          <cell r="G924" t="str">
            <v>C</v>
          </cell>
          <cell r="R924">
            <v>0</v>
          </cell>
        </row>
        <row r="925">
          <cell r="C925" t="str">
            <v>LA UVITA</v>
          </cell>
          <cell r="D925" t="str">
            <v>BOYACA</v>
          </cell>
          <cell r="E925">
            <v>1145</v>
          </cell>
          <cell r="F925">
            <v>184</v>
          </cell>
          <cell r="G925" t="str">
            <v>C</v>
          </cell>
          <cell r="R925">
            <v>0</v>
          </cell>
        </row>
        <row r="926">
          <cell r="C926" t="str">
            <v>CUCUNUBA</v>
          </cell>
          <cell r="D926" t="str">
            <v>CUNDINAMARCA</v>
          </cell>
          <cell r="E926">
            <v>1135</v>
          </cell>
          <cell r="F926">
            <v>90</v>
          </cell>
          <cell r="G926" t="str">
            <v>E</v>
          </cell>
          <cell r="R926">
            <v>0</v>
          </cell>
        </row>
        <row r="927">
          <cell r="C927" t="str">
            <v>PAEZ</v>
          </cell>
          <cell r="D927" t="str">
            <v>BOYACA</v>
          </cell>
          <cell r="E927">
            <v>1135</v>
          </cell>
          <cell r="F927">
            <v>134</v>
          </cell>
          <cell r="G927" t="str">
            <v>C</v>
          </cell>
          <cell r="R927">
            <v>0</v>
          </cell>
        </row>
        <row r="928">
          <cell r="C928" t="str">
            <v>CHAMEZA</v>
          </cell>
          <cell r="D928" t="str">
            <v>CASANARE</v>
          </cell>
          <cell r="E928">
            <v>1131</v>
          </cell>
          <cell r="F928">
            <v>32</v>
          </cell>
          <cell r="G928" t="str">
            <v>C</v>
          </cell>
          <cell r="R928">
            <v>0</v>
          </cell>
        </row>
        <row r="929">
          <cell r="C929" t="str">
            <v>PARAMO</v>
          </cell>
          <cell r="D929" t="str">
            <v>SANTANDER</v>
          </cell>
          <cell r="E929">
            <v>1129</v>
          </cell>
          <cell r="F929">
            <v>20</v>
          </cell>
          <cell r="G929" t="str">
            <v>D</v>
          </cell>
          <cell r="R929">
            <v>0</v>
          </cell>
        </row>
        <row r="930">
          <cell r="C930" t="str">
            <v>MARMATO</v>
          </cell>
          <cell r="D930" t="str">
            <v>CALDAS</v>
          </cell>
          <cell r="E930">
            <v>1122</v>
          </cell>
          <cell r="F930">
            <v>84</v>
          </cell>
          <cell r="G930" t="str">
            <v>E</v>
          </cell>
          <cell r="R930">
            <v>0</v>
          </cell>
          <cell r="X930">
            <v>1</v>
          </cell>
        </row>
        <row r="931">
          <cell r="C931" t="str">
            <v>SIACHOQUE</v>
          </cell>
          <cell r="D931" t="str">
            <v>BOYACA</v>
          </cell>
          <cell r="E931">
            <v>1120</v>
          </cell>
          <cell r="F931">
            <v>131</v>
          </cell>
          <cell r="G931" t="str">
            <v>C</v>
          </cell>
          <cell r="R931">
            <v>0</v>
          </cell>
        </row>
        <row r="932">
          <cell r="C932" t="str">
            <v>MATANZA</v>
          </cell>
          <cell r="D932" t="str">
            <v>SANTANDER</v>
          </cell>
          <cell r="E932">
            <v>1115</v>
          </cell>
          <cell r="F932">
            <v>63</v>
          </cell>
          <cell r="G932" t="str">
            <v>E</v>
          </cell>
          <cell r="R932">
            <v>0</v>
          </cell>
        </row>
        <row r="933">
          <cell r="C933" t="str">
            <v>MARULANDA</v>
          </cell>
          <cell r="D933" t="str">
            <v>CALDAS</v>
          </cell>
          <cell r="E933">
            <v>1110</v>
          </cell>
          <cell r="F933">
            <v>109</v>
          </cell>
          <cell r="G933" t="str">
            <v>C</v>
          </cell>
          <cell r="R933">
            <v>0</v>
          </cell>
        </row>
        <row r="934">
          <cell r="C934" t="str">
            <v>HERRAN</v>
          </cell>
          <cell r="D934" t="str">
            <v>NORTE DE SANTANDER</v>
          </cell>
          <cell r="E934">
            <v>1102</v>
          </cell>
          <cell r="F934">
            <v>67</v>
          </cell>
          <cell r="G934" t="str">
            <v>C</v>
          </cell>
          <cell r="R934">
            <v>0</v>
          </cell>
        </row>
        <row r="935">
          <cell r="C935" t="str">
            <v>ELIAS</v>
          </cell>
          <cell r="D935" t="str">
            <v>HUILA</v>
          </cell>
          <cell r="E935">
            <v>1098</v>
          </cell>
          <cell r="F935">
            <v>40</v>
          </cell>
          <cell r="G935" t="str">
            <v>B</v>
          </cell>
          <cell r="R935">
            <v>0</v>
          </cell>
        </row>
        <row r="936">
          <cell r="C936" t="str">
            <v>SOCOTA</v>
          </cell>
          <cell r="D936" t="str">
            <v>BOYACA</v>
          </cell>
          <cell r="E936">
            <v>1095</v>
          </cell>
          <cell r="F936">
            <v>112</v>
          </cell>
          <cell r="G936" t="str">
            <v>C</v>
          </cell>
          <cell r="R936">
            <v>0</v>
          </cell>
        </row>
        <row r="937">
          <cell r="C937" t="str">
            <v>HACARI</v>
          </cell>
          <cell r="D937" t="str">
            <v>NORTE DE SANTANDER</v>
          </cell>
          <cell r="E937">
            <v>1084</v>
          </cell>
          <cell r="F937">
            <v>102</v>
          </cell>
          <cell r="G937" t="str">
            <v>C</v>
          </cell>
          <cell r="R937">
            <v>0</v>
          </cell>
        </row>
        <row r="938">
          <cell r="C938" t="str">
            <v>CAMPAMENTO</v>
          </cell>
          <cell r="D938" t="str">
            <v>ANTIOQUIA</v>
          </cell>
          <cell r="E938">
            <v>1070</v>
          </cell>
          <cell r="F938">
            <v>38</v>
          </cell>
          <cell r="G938" t="str">
            <v>D</v>
          </cell>
          <cell r="R938">
            <v>0</v>
          </cell>
        </row>
        <row r="939">
          <cell r="C939" t="str">
            <v>BURITICA</v>
          </cell>
          <cell r="D939" t="str">
            <v>ANTIOQUIA</v>
          </cell>
          <cell r="E939">
            <v>1065</v>
          </cell>
          <cell r="F939">
            <v>55</v>
          </cell>
          <cell r="G939" t="str">
            <v>C</v>
          </cell>
          <cell r="R939">
            <v>0</v>
          </cell>
        </row>
        <row r="940">
          <cell r="C940" t="str">
            <v>JAMBALO</v>
          </cell>
          <cell r="D940" t="str">
            <v>CAUCA</v>
          </cell>
          <cell r="E940">
            <v>1055</v>
          </cell>
          <cell r="F940">
            <v>67</v>
          </cell>
          <cell r="G940" t="str">
            <v>B</v>
          </cell>
          <cell r="R940">
            <v>0</v>
          </cell>
        </row>
        <row r="941">
          <cell r="C941" t="str">
            <v>CHITARAQUE</v>
          </cell>
          <cell r="D941" t="str">
            <v>BOYACA</v>
          </cell>
          <cell r="E941">
            <v>1053</v>
          </cell>
          <cell r="F941">
            <v>102</v>
          </cell>
          <cell r="G941" t="str">
            <v>C</v>
          </cell>
          <cell r="R941">
            <v>0</v>
          </cell>
        </row>
        <row r="942">
          <cell r="C942" t="str">
            <v>MANTA</v>
          </cell>
          <cell r="D942" t="str">
            <v>CUNDINAMARCA</v>
          </cell>
          <cell r="E942">
            <v>1043</v>
          </cell>
          <cell r="F942">
            <v>116</v>
          </cell>
          <cell r="G942" t="str">
            <v>C</v>
          </cell>
          <cell r="R942">
            <v>0</v>
          </cell>
          <cell r="X942">
            <v>1</v>
          </cell>
        </row>
        <row r="943">
          <cell r="C943" t="str">
            <v>SAN SEBASTIAN  </v>
          </cell>
          <cell r="D943" t="str">
            <v>CAUCA</v>
          </cell>
          <cell r="E943">
            <v>1043</v>
          </cell>
          <cell r="F943">
            <v>11</v>
          </cell>
          <cell r="G943" t="str">
            <v>B</v>
          </cell>
          <cell r="R943">
            <v>0</v>
          </cell>
        </row>
        <row r="944">
          <cell r="C944" t="str">
            <v>LABRANZAGRANDE</v>
          </cell>
          <cell r="D944" t="str">
            <v>BOYACA</v>
          </cell>
          <cell r="E944">
            <v>1042</v>
          </cell>
          <cell r="F944">
            <v>96</v>
          </cell>
          <cell r="G944" t="str">
            <v>B</v>
          </cell>
          <cell r="R944">
            <v>0</v>
          </cell>
        </row>
        <row r="945">
          <cell r="C945" t="str">
            <v>NUEVO COLON</v>
          </cell>
          <cell r="D945" t="str">
            <v>BOYACA</v>
          </cell>
          <cell r="E945">
            <v>1034</v>
          </cell>
          <cell r="F945">
            <v>187</v>
          </cell>
          <cell r="G945" t="str">
            <v>B</v>
          </cell>
          <cell r="R945">
            <v>0</v>
          </cell>
          <cell r="X945">
            <v>1</v>
          </cell>
        </row>
        <row r="946">
          <cell r="C946" t="str">
            <v>EL LITORAL DEL SAN JUAN</v>
          </cell>
          <cell r="D946" t="str">
            <v>CHOCO</v>
          </cell>
          <cell r="E946">
            <v>1032</v>
          </cell>
          <cell r="F946">
            <v>0</v>
          </cell>
          <cell r="G946" t="str">
            <v>A</v>
          </cell>
          <cell r="R946">
            <v>0</v>
          </cell>
        </row>
        <row r="947">
          <cell r="C947" t="str">
            <v>SACAMA</v>
          </cell>
          <cell r="D947" t="str">
            <v>CASANARE</v>
          </cell>
          <cell r="E947">
            <v>1026</v>
          </cell>
          <cell r="F947">
            <v>41</v>
          </cell>
          <cell r="G947" t="str">
            <v>B</v>
          </cell>
          <cell r="R947">
            <v>0</v>
          </cell>
        </row>
        <row r="948">
          <cell r="C948" t="str">
            <v>BERRUECOS</v>
          </cell>
          <cell r="D948" t="str">
            <v>NARIÑO</v>
          </cell>
          <cell r="E948">
            <v>1011</v>
          </cell>
          <cell r="F948">
            <v>12</v>
          </cell>
          <cell r="G948" t="str">
            <v>C</v>
          </cell>
          <cell r="R948">
            <v>0</v>
          </cell>
        </row>
        <row r="949">
          <cell r="C949" t="str">
            <v>CABRERA</v>
          </cell>
          <cell r="D949" t="str">
            <v>CUNDINAMARCA</v>
          </cell>
          <cell r="E949">
            <v>1008</v>
          </cell>
          <cell r="F949">
            <v>145</v>
          </cell>
          <cell r="G949" t="str">
            <v>D</v>
          </cell>
          <cell r="R949">
            <v>0</v>
          </cell>
          <cell r="X949">
            <v>1</v>
          </cell>
        </row>
        <row r="950">
          <cell r="C950" t="str">
            <v>ZETAQUIRA </v>
          </cell>
          <cell r="D950" t="str">
            <v>BOYACA</v>
          </cell>
          <cell r="E950">
            <v>1007</v>
          </cell>
          <cell r="F950">
            <v>136</v>
          </cell>
          <cell r="G950" t="str">
            <v>C</v>
          </cell>
          <cell r="R950">
            <v>0</v>
          </cell>
          <cell r="X950">
            <v>1</v>
          </cell>
        </row>
        <row r="951">
          <cell r="C951" t="str">
            <v>LA CAPILLA</v>
          </cell>
          <cell r="D951" t="str">
            <v>BOYACA</v>
          </cell>
          <cell r="E951">
            <v>1006</v>
          </cell>
          <cell r="F951">
            <v>113</v>
          </cell>
          <cell r="G951" t="str">
            <v>B</v>
          </cell>
          <cell r="R951">
            <v>0</v>
          </cell>
        </row>
        <row r="952">
          <cell r="C952" t="str">
            <v>CHISCAS</v>
          </cell>
          <cell r="D952" t="str">
            <v>BOYACA</v>
          </cell>
          <cell r="E952">
            <v>1005</v>
          </cell>
          <cell r="F952">
            <v>85</v>
          </cell>
          <cell r="G952" t="str">
            <v>B</v>
          </cell>
          <cell r="R952">
            <v>0</v>
          </cell>
          <cell r="X952">
            <v>1</v>
          </cell>
        </row>
        <row r="953">
          <cell r="C953" t="str">
            <v>CARMEN DEL DARIEN</v>
          </cell>
          <cell r="D953" t="str">
            <v>CHOCO</v>
          </cell>
          <cell r="E953">
            <v>1005</v>
          </cell>
          <cell r="F953">
            <v>0</v>
          </cell>
          <cell r="G953" t="str">
            <v>A</v>
          </cell>
          <cell r="R953">
            <v>0</v>
          </cell>
        </row>
        <row r="954">
          <cell r="C954" t="str">
            <v>PANDI</v>
          </cell>
          <cell r="D954" t="str">
            <v>CUNDINAMARCA</v>
          </cell>
          <cell r="E954">
            <v>994</v>
          </cell>
          <cell r="F954">
            <v>92</v>
          </cell>
          <cell r="G954" t="str">
            <v>D</v>
          </cell>
          <cell r="R954">
            <v>0</v>
          </cell>
        </row>
        <row r="955">
          <cell r="C955" t="str">
            <v>SAN JOSE DEL PALMAR</v>
          </cell>
          <cell r="D955" t="str">
            <v>CHOCO</v>
          </cell>
          <cell r="E955">
            <v>974</v>
          </cell>
          <cell r="F955">
            <v>0</v>
          </cell>
          <cell r="G955" t="str">
            <v>C</v>
          </cell>
          <cell r="R955">
            <v>0</v>
          </cell>
        </row>
        <row r="956">
          <cell r="C956" t="str">
            <v>LA PEÑA</v>
          </cell>
          <cell r="D956" t="str">
            <v>CUNDINAMARCA</v>
          </cell>
          <cell r="E956">
            <v>971</v>
          </cell>
          <cell r="F956">
            <v>123</v>
          </cell>
          <cell r="G956" t="str">
            <v>C</v>
          </cell>
          <cell r="R956">
            <v>0</v>
          </cell>
        </row>
        <row r="957">
          <cell r="C957" t="str">
            <v>EL TABLON DE GOMEZ</v>
          </cell>
          <cell r="D957" t="str">
            <v>NARIÑO</v>
          </cell>
          <cell r="E957">
            <v>969</v>
          </cell>
          <cell r="F957">
            <v>32</v>
          </cell>
          <cell r="G957" t="str">
            <v>C</v>
          </cell>
          <cell r="R957">
            <v>0</v>
          </cell>
        </row>
        <row r="958">
          <cell r="C958" t="str">
            <v>PINCHOTE</v>
          </cell>
          <cell r="D958" t="str">
            <v>SANTANDER</v>
          </cell>
          <cell r="E958">
            <v>965</v>
          </cell>
          <cell r="F958">
            <v>64</v>
          </cell>
          <cell r="G958" t="str">
            <v>C</v>
          </cell>
          <cell r="R958">
            <v>0</v>
          </cell>
        </row>
        <row r="959">
          <cell r="C959" t="str">
            <v>MURINDO</v>
          </cell>
          <cell r="D959" t="str">
            <v>ANTIOQUIA</v>
          </cell>
          <cell r="E959">
            <v>963</v>
          </cell>
          <cell r="F959">
            <v>0</v>
          </cell>
          <cell r="G959" t="str">
            <v>A</v>
          </cell>
          <cell r="R959">
            <v>0</v>
          </cell>
        </row>
        <row r="960">
          <cell r="C960" t="str">
            <v>SANTA RITA</v>
          </cell>
          <cell r="D960" t="str">
            <v>CHOCO</v>
          </cell>
          <cell r="E960">
            <v>963</v>
          </cell>
          <cell r="F960">
            <v>0</v>
          </cell>
          <cell r="G960" t="str">
            <v>A</v>
          </cell>
          <cell r="R960">
            <v>0</v>
          </cell>
        </row>
        <row r="961">
          <cell r="C961" t="str">
            <v>SAN JOSE DE PARE</v>
          </cell>
          <cell r="D961" t="str">
            <v>BOYACA</v>
          </cell>
          <cell r="E961">
            <v>955</v>
          </cell>
          <cell r="F961">
            <v>141</v>
          </cell>
          <cell r="G961" t="str">
            <v>D</v>
          </cell>
          <cell r="R961">
            <v>0</v>
          </cell>
        </row>
        <row r="962">
          <cell r="C962" t="str">
            <v>MACANAL</v>
          </cell>
          <cell r="D962" t="str">
            <v>BOYACA</v>
          </cell>
          <cell r="E962">
            <v>938</v>
          </cell>
          <cell r="F962">
            <v>99</v>
          </cell>
          <cell r="G962" t="str">
            <v>D</v>
          </cell>
          <cell r="R962">
            <v>0</v>
          </cell>
        </row>
        <row r="963">
          <cell r="C963" t="str">
            <v>VENECIA</v>
          </cell>
          <cell r="D963" t="str">
            <v>CUNDINAMARCA</v>
          </cell>
          <cell r="E963">
            <v>937</v>
          </cell>
          <cell r="F963">
            <v>109</v>
          </cell>
          <cell r="G963" t="str">
            <v>D</v>
          </cell>
          <cell r="R963">
            <v>0</v>
          </cell>
        </row>
        <row r="964">
          <cell r="C964" t="str">
            <v>SILOS</v>
          </cell>
          <cell r="D964" t="str">
            <v>NORTE DE SANTANDER</v>
          </cell>
          <cell r="E964">
            <v>935</v>
          </cell>
          <cell r="F964">
            <v>82</v>
          </cell>
          <cell r="G964" t="str">
            <v>B</v>
          </cell>
          <cell r="R964">
            <v>0</v>
          </cell>
        </row>
        <row r="965">
          <cell r="C965" t="str">
            <v>TIPACOQUE</v>
          </cell>
          <cell r="D965" t="str">
            <v>BOYACA</v>
          </cell>
          <cell r="E965">
            <v>932</v>
          </cell>
          <cell r="F965">
            <v>102</v>
          </cell>
          <cell r="G965" t="str">
            <v>C</v>
          </cell>
          <cell r="R965">
            <v>0</v>
          </cell>
        </row>
        <row r="966">
          <cell r="C966" t="str">
            <v>SAN JOSE DE MIRANDA</v>
          </cell>
          <cell r="D966" t="str">
            <v>SANTANDER</v>
          </cell>
          <cell r="E966">
            <v>922</v>
          </cell>
          <cell r="F966">
            <v>59</v>
          </cell>
          <cell r="G966" t="str">
            <v>C</v>
          </cell>
          <cell r="R966">
            <v>0</v>
          </cell>
          <cell r="X966">
            <v>1</v>
          </cell>
        </row>
        <row r="967">
          <cell r="C967" t="str">
            <v>SUSACON</v>
          </cell>
          <cell r="D967" t="str">
            <v>BOYACA</v>
          </cell>
          <cell r="E967">
            <v>920</v>
          </cell>
          <cell r="F967">
            <v>61</v>
          </cell>
          <cell r="G967" t="str">
            <v>D</v>
          </cell>
          <cell r="R967">
            <v>0</v>
          </cell>
          <cell r="X967">
            <v>1</v>
          </cell>
        </row>
        <row r="968">
          <cell r="C968" t="str">
            <v>EL PEÑOL</v>
          </cell>
          <cell r="D968" t="str">
            <v>NARIÑO</v>
          </cell>
          <cell r="E968">
            <v>910</v>
          </cell>
          <cell r="F968">
            <v>41</v>
          </cell>
          <cell r="G968" t="str">
            <v>A</v>
          </cell>
          <cell r="R968">
            <v>0</v>
          </cell>
        </row>
        <row r="969">
          <cell r="C969" t="str">
            <v>MARIPI</v>
          </cell>
          <cell r="D969" t="str">
            <v>BOYACA</v>
          </cell>
          <cell r="E969">
            <v>891</v>
          </cell>
          <cell r="F969">
            <v>80</v>
          </cell>
          <cell r="G969" t="str">
            <v>D</v>
          </cell>
          <cell r="R969">
            <v>0</v>
          </cell>
        </row>
        <row r="970">
          <cell r="C970" t="str">
            <v>IZA</v>
          </cell>
          <cell r="D970" t="str">
            <v>BOYACA</v>
          </cell>
          <cell r="E970">
            <v>887</v>
          </cell>
          <cell r="F970">
            <v>101</v>
          </cell>
          <cell r="G970" t="str">
            <v>B</v>
          </cell>
          <cell r="R970">
            <v>0</v>
          </cell>
        </row>
        <row r="971">
          <cell r="C971" t="str">
            <v>PAJARITO</v>
          </cell>
          <cell r="D971" t="str">
            <v>BOYACA</v>
          </cell>
          <cell r="E971">
            <v>875</v>
          </cell>
          <cell r="F971">
            <v>108</v>
          </cell>
          <cell r="G971" t="str">
            <v>B</v>
          </cell>
          <cell r="R971">
            <v>0</v>
          </cell>
        </row>
        <row r="972">
          <cell r="C972" t="str">
            <v>CALIFORNIA</v>
          </cell>
          <cell r="D972" t="str">
            <v>SANTANDER</v>
          </cell>
          <cell r="E972">
            <v>860</v>
          </cell>
          <cell r="F972">
            <v>41</v>
          </cell>
          <cell r="G972" t="str">
            <v>C</v>
          </cell>
          <cell r="R972">
            <v>0</v>
          </cell>
        </row>
        <row r="973">
          <cell r="C973" t="str">
            <v>ROBERTO PAYAN</v>
          </cell>
          <cell r="D973" t="str">
            <v>NARIÑO</v>
          </cell>
          <cell r="E973">
            <v>849</v>
          </cell>
          <cell r="F973">
            <v>0</v>
          </cell>
          <cell r="G973" t="str">
            <v>A</v>
          </cell>
          <cell r="R973">
            <v>0</v>
          </cell>
        </row>
        <row r="974">
          <cell r="C974" t="str">
            <v>UBAQUE</v>
          </cell>
          <cell r="D974" t="str">
            <v>CUNDINAMARCA</v>
          </cell>
          <cell r="E974">
            <v>847</v>
          </cell>
          <cell r="F974">
            <v>126</v>
          </cell>
          <cell r="G974" t="str">
            <v>D</v>
          </cell>
          <cell r="R974">
            <v>0</v>
          </cell>
        </row>
        <row r="975">
          <cell r="C975" t="str">
            <v>CAMPOHERMOSO</v>
          </cell>
          <cell r="D975" t="str">
            <v>BOYACA</v>
          </cell>
          <cell r="E975">
            <v>845</v>
          </cell>
          <cell r="F975">
            <v>69</v>
          </cell>
          <cell r="G975" t="str">
            <v>C</v>
          </cell>
          <cell r="R975">
            <v>0</v>
          </cell>
        </row>
        <row r="976">
          <cell r="C976" t="str">
            <v>GUTIERREZ</v>
          </cell>
          <cell r="D976" t="str">
            <v>CUNDINAMARCA</v>
          </cell>
          <cell r="E976">
            <v>839</v>
          </cell>
          <cell r="F976">
            <v>81</v>
          </cell>
          <cell r="G976" t="str">
            <v>D</v>
          </cell>
          <cell r="R976">
            <v>0</v>
          </cell>
          <cell r="X976">
            <v>1</v>
          </cell>
        </row>
        <row r="977">
          <cell r="C977" t="str">
            <v>GUAYABAL DE SIQUIMA</v>
          </cell>
          <cell r="D977" t="str">
            <v>CUNDINAMARCA</v>
          </cell>
          <cell r="E977">
            <v>838</v>
          </cell>
          <cell r="F977">
            <v>138</v>
          </cell>
          <cell r="G977" t="str">
            <v>D</v>
          </cell>
          <cell r="R977">
            <v>0</v>
          </cell>
          <cell r="X977">
            <v>1</v>
          </cell>
        </row>
        <row r="978">
          <cell r="C978" t="str">
            <v>SAN ANTONIO DEL TEQUENDAMA</v>
          </cell>
          <cell r="D978" t="str">
            <v>CUNDINAMARCA</v>
          </cell>
          <cell r="E978">
            <v>835</v>
          </cell>
          <cell r="F978">
            <v>36</v>
          </cell>
          <cell r="G978" t="str">
            <v>E</v>
          </cell>
          <cell r="R978">
            <v>0</v>
          </cell>
        </row>
        <row r="979">
          <cell r="C979" t="str">
            <v>COMBITA</v>
          </cell>
          <cell r="D979" t="str">
            <v>BOYACA</v>
          </cell>
          <cell r="E979">
            <v>828</v>
          </cell>
          <cell r="F979">
            <v>110</v>
          </cell>
          <cell r="G979" t="str">
            <v>E</v>
          </cell>
          <cell r="R979">
            <v>0</v>
          </cell>
        </row>
        <row r="980">
          <cell r="C980" t="str">
            <v>PAMPLONITA</v>
          </cell>
          <cell r="D980" t="str">
            <v>NORTE DE SANTANDER</v>
          </cell>
          <cell r="E980">
            <v>821</v>
          </cell>
          <cell r="F980">
            <v>79</v>
          </cell>
          <cell r="G980" t="str">
            <v>B</v>
          </cell>
          <cell r="R980">
            <v>0</v>
          </cell>
        </row>
        <row r="981">
          <cell r="C981" t="str">
            <v>CHIMA</v>
          </cell>
          <cell r="D981" t="str">
            <v>SANTANDER</v>
          </cell>
          <cell r="E981">
            <v>819</v>
          </cell>
          <cell r="F981">
            <v>51</v>
          </cell>
          <cell r="G981" t="str">
            <v>C</v>
          </cell>
          <cell r="R981">
            <v>0</v>
          </cell>
        </row>
        <row r="982">
          <cell r="C982" t="str">
            <v>JUNIN</v>
          </cell>
          <cell r="D982" t="str">
            <v>CUNDINAMARCA</v>
          </cell>
          <cell r="E982">
            <v>804</v>
          </cell>
          <cell r="F982">
            <v>81</v>
          </cell>
          <cell r="G982" t="str">
            <v>E</v>
          </cell>
          <cell r="R982">
            <v>0</v>
          </cell>
        </row>
        <row r="983">
          <cell r="C983" t="str">
            <v>EL PEÑON</v>
          </cell>
          <cell r="D983" t="str">
            <v>SANTANDER</v>
          </cell>
          <cell r="E983">
            <v>803</v>
          </cell>
          <cell r="F983">
            <v>14</v>
          </cell>
          <cell r="G983" t="str">
            <v>D</v>
          </cell>
          <cell r="R983">
            <v>0</v>
          </cell>
        </row>
        <row r="984">
          <cell r="C984" t="str">
            <v>JESUS MARIA</v>
          </cell>
          <cell r="D984" t="str">
            <v>SANTANDER</v>
          </cell>
          <cell r="E984">
            <v>797</v>
          </cell>
          <cell r="F984">
            <v>108</v>
          </cell>
          <cell r="G984" t="str">
            <v>D</v>
          </cell>
          <cell r="R984">
            <v>0</v>
          </cell>
        </row>
        <row r="985">
          <cell r="C985" t="str">
            <v>TAUSA </v>
          </cell>
          <cell r="D985" t="str">
            <v>CUNDINAMARCA</v>
          </cell>
          <cell r="E985">
            <v>795</v>
          </cell>
          <cell r="F985">
            <v>82</v>
          </cell>
          <cell r="G985" t="str">
            <v>D</v>
          </cell>
          <cell r="R985">
            <v>0</v>
          </cell>
        </row>
        <row r="986">
          <cell r="C986" t="str">
            <v>CHAGUANI</v>
          </cell>
          <cell r="D986" t="str">
            <v>CUNDINAMARCA</v>
          </cell>
          <cell r="E986">
            <v>778</v>
          </cell>
          <cell r="F986">
            <v>91</v>
          </cell>
          <cell r="G986" t="str">
            <v>C</v>
          </cell>
          <cell r="R986">
            <v>0</v>
          </cell>
        </row>
        <row r="987">
          <cell r="C987" t="str">
            <v>EL CALVARIO</v>
          </cell>
          <cell r="D987" t="str">
            <v>META</v>
          </cell>
          <cell r="E987">
            <v>763</v>
          </cell>
          <cell r="F987">
            <v>12</v>
          </cell>
          <cell r="G987" t="str">
            <v>B</v>
          </cell>
          <cell r="R987">
            <v>0</v>
          </cell>
        </row>
        <row r="988">
          <cell r="C988" t="str">
            <v>LA PAZ</v>
          </cell>
          <cell r="D988" t="str">
            <v>SANTANDER</v>
          </cell>
          <cell r="E988">
            <v>761</v>
          </cell>
          <cell r="F988">
            <v>108</v>
          </cell>
          <cell r="G988" t="str">
            <v>F</v>
          </cell>
          <cell r="R988">
            <v>0</v>
          </cell>
        </row>
        <row r="989">
          <cell r="C989" t="str">
            <v>SANTA SOFIA</v>
          </cell>
          <cell r="D989" t="str">
            <v>BOYACA</v>
          </cell>
          <cell r="E989">
            <v>758</v>
          </cell>
          <cell r="F989">
            <v>196</v>
          </cell>
          <cell r="G989" t="str">
            <v>C</v>
          </cell>
          <cell r="R989">
            <v>0</v>
          </cell>
        </row>
        <row r="990">
          <cell r="C990" t="str">
            <v>GALAN</v>
          </cell>
          <cell r="D990" t="str">
            <v>SANTANDER</v>
          </cell>
          <cell r="E990">
            <v>752</v>
          </cell>
          <cell r="F990">
            <v>114</v>
          </cell>
          <cell r="G990" t="str">
            <v>D</v>
          </cell>
          <cell r="R990">
            <v>0</v>
          </cell>
        </row>
        <row r="991">
          <cell r="C991" t="str">
            <v>SABOYA</v>
          </cell>
          <cell r="D991" t="str">
            <v>BOYACA</v>
          </cell>
          <cell r="E991">
            <v>751</v>
          </cell>
          <cell r="F991">
            <v>120</v>
          </cell>
          <cell r="G991" t="str">
            <v>E</v>
          </cell>
          <cell r="R991">
            <v>0</v>
          </cell>
          <cell r="X991">
            <v>1</v>
          </cell>
        </row>
        <row r="992">
          <cell r="C992" t="str">
            <v>GUAVATA</v>
          </cell>
          <cell r="D992" t="str">
            <v>SANTANDER</v>
          </cell>
          <cell r="E992">
            <v>745</v>
          </cell>
          <cell r="F992">
            <v>125</v>
          </cell>
          <cell r="G992" t="str">
            <v>D</v>
          </cell>
          <cell r="R992">
            <v>0</v>
          </cell>
        </row>
        <row r="993">
          <cell r="C993" t="str">
            <v>HATO </v>
          </cell>
          <cell r="D993" t="str">
            <v>SANTANDER</v>
          </cell>
          <cell r="E993">
            <v>743</v>
          </cell>
          <cell r="F993">
            <v>23</v>
          </cell>
          <cell r="G993" t="str">
            <v>D</v>
          </cell>
          <cell r="R993">
            <v>0</v>
          </cell>
        </row>
        <row r="994">
          <cell r="C994" t="str">
            <v>SOMONDOCO</v>
          </cell>
          <cell r="D994" t="str">
            <v>BOYACA</v>
          </cell>
          <cell r="E994">
            <v>741</v>
          </cell>
          <cell r="F994">
            <v>102</v>
          </cell>
          <cell r="G994" t="str">
            <v>C</v>
          </cell>
          <cell r="R994">
            <v>0</v>
          </cell>
          <cell r="X994">
            <v>1</v>
          </cell>
        </row>
        <row r="995">
          <cell r="C995" t="str">
            <v>SAN JOAQUIN</v>
          </cell>
          <cell r="D995" t="str">
            <v>SANTANDER</v>
          </cell>
          <cell r="E995">
            <v>736</v>
          </cell>
          <cell r="F995">
            <v>135</v>
          </cell>
          <cell r="G995" t="str">
            <v>C</v>
          </cell>
          <cell r="R995">
            <v>0</v>
          </cell>
        </row>
        <row r="996">
          <cell r="C996" t="str">
            <v>SUTATENZA</v>
          </cell>
          <cell r="D996" t="str">
            <v>BOYACA</v>
          </cell>
          <cell r="E996">
            <v>729</v>
          </cell>
          <cell r="F996">
            <v>85</v>
          </cell>
          <cell r="G996" t="str">
            <v>C</v>
          </cell>
          <cell r="R996">
            <v>0</v>
          </cell>
        </row>
        <row r="997">
          <cell r="C997" t="str">
            <v>BUENAVISTA</v>
          </cell>
          <cell r="D997" t="str">
            <v>BOYACA</v>
          </cell>
          <cell r="E997">
            <v>728</v>
          </cell>
          <cell r="F997">
            <v>77</v>
          </cell>
          <cell r="G997" t="str">
            <v>E</v>
          </cell>
          <cell r="R997">
            <v>0</v>
          </cell>
        </row>
        <row r="998">
          <cell r="C998" t="str">
            <v>SAN PABLO DE BORBUR</v>
          </cell>
          <cell r="D998" t="str">
            <v>BOYACA</v>
          </cell>
          <cell r="E998">
            <v>726</v>
          </cell>
          <cell r="F998">
            <v>90</v>
          </cell>
          <cell r="G998" t="str">
            <v>D</v>
          </cell>
          <cell r="R998">
            <v>0</v>
          </cell>
        </row>
        <row r="999">
          <cell r="C999" t="str">
            <v>CACOTA</v>
          </cell>
          <cell r="D999" t="str">
            <v>NORTE DE SANTANDER</v>
          </cell>
          <cell r="E999">
            <v>724</v>
          </cell>
          <cell r="F999">
            <v>66</v>
          </cell>
          <cell r="G999" t="str">
            <v>A</v>
          </cell>
          <cell r="R999">
            <v>0</v>
          </cell>
        </row>
        <row r="1000">
          <cell r="C1000" t="str">
            <v>SORACA</v>
          </cell>
          <cell r="D1000" t="str">
            <v>BOYACA</v>
          </cell>
          <cell r="E1000">
            <v>722</v>
          </cell>
          <cell r="F1000">
            <v>106</v>
          </cell>
          <cell r="G1000" t="str">
            <v>C</v>
          </cell>
          <cell r="R1000">
            <v>0</v>
          </cell>
        </row>
        <row r="1001">
          <cell r="C1001" t="str">
            <v>LA VICTORIA</v>
          </cell>
          <cell r="D1001" t="str">
            <v>BOYACA</v>
          </cell>
          <cell r="E1001">
            <v>717</v>
          </cell>
          <cell r="F1001">
            <v>36</v>
          </cell>
          <cell r="G1001" t="str">
            <v>B</v>
          </cell>
          <cell r="R1001">
            <v>0</v>
          </cell>
        </row>
        <row r="1002">
          <cell r="C1002" t="str">
            <v>SAN EDUARDO</v>
          </cell>
          <cell r="D1002" t="str">
            <v>BOYACA</v>
          </cell>
          <cell r="E1002">
            <v>715</v>
          </cell>
          <cell r="F1002">
            <v>64</v>
          </cell>
          <cell r="G1002" t="str">
            <v>B</v>
          </cell>
          <cell r="R1002">
            <v>0</v>
          </cell>
        </row>
        <row r="1003">
          <cell r="C1003" t="str">
            <v>SOTAQUIRA</v>
          </cell>
          <cell r="D1003" t="str">
            <v>BOYACA</v>
          </cell>
          <cell r="E1003">
            <v>707</v>
          </cell>
          <cell r="F1003">
            <v>75</v>
          </cell>
          <cell r="G1003" t="str">
            <v>D</v>
          </cell>
          <cell r="R1003">
            <v>0</v>
          </cell>
        </row>
        <row r="1004">
          <cell r="C1004" t="str">
            <v>TOGUI</v>
          </cell>
          <cell r="D1004" t="str">
            <v>BOYACA</v>
          </cell>
          <cell r="E1004">
            <v>706</v>
          </cell>
          <cell r="F1004">
            <v>92</v>
          </cell>
          <cell r="G1004" t="str">
            <v>B</v>
          </cell>
          <cell r="R1004">
            <v>0</v>
          </cell>
        </row>
        <row r="1005">
          <cell r="C1005" t="str">
            <v>TENA</v>
          </cell>
          <cell r="D1005" t="str">
            <v>CUNDINAMARCA</v>
          </cell>
          <cell r="E1005">
            <v>703</v>
          </cell>
          <cell r="F1005">
            <v>47</v>
          </cell>
          <cell r="G1005" t="str">
            <v>E</v>
          </cell>
          <cell r="R1005">
            <v>0</v>
          </cell>
        </row>
        <row r="1006">
          <cell r="C1006" t="str">
            <v>PALMAR</v>
          </cell>
          <cell r="D1006" t="str">
            <v>SANTANDER</v>
          </cell>
          <cell r="E1006">
            <v>702</v>
          </cell>
          <cell r="F1006">
            <v>5</v>
          </cell>
          <cell r="G1006" t="str">
            <v>C</v>
          </cell>
          <cell r="R1006">
            <v>0</v>
          </cell>
        </row>
        <row r="1007">
          <cell r="C1007" t="str">
            <v>COPER</v>
          </cell>
          <cell r="D1007" t="str">
            <v>BOYACA</v>
          </cell>
          <cell r="E1007">
            <v>699</v>
          </cell>
          <cell r="F1007">
            <v>92</v>
          </cell>
          <cell r="G1007" t="str">
            <v>C</v>
          </cell>
          <cell r="R1007">
            <v>0</v>
          </cell>
        </row>
        <row r="1008">
          <cell r="C1008" t="str">
            <v>TOPAIPI</v>
          </cell>
          <cell r="D1008" t="str">
            <v>CUNDINAMARCA</v>
          </cell>
          <cell r="E1008">
            <v>694</v>
          </cell>
          <cell r="F1008">
            <v>90</v>
          </cell>
          <cell r="G1008" t="str">
            <v>A</v>
          </cell>
          <cell r="R1008">
            <v>0</v>
          </cell>
        </row>
        <row r="1009">
          <cell r="C1009" t="str">
            <v>IMUES</v>
          </cell>
          <cell r="D1009" t="str">
            <v>NARIÑO</v>
          </cell>
          <cell r="E1009">
            <v>688</v>
          </cell>
          <cell r="F1009">
            <v>33</v>
          </cell>
          <cell r="G1009" t="str">
            <v>C</v>
          </cell>
          <cell r="R1009">
            <v>0</v>
          </cell>
        </row>
        <row r="1010">
          <cell r="C1010" t="str">
            <v>QUIPILE</v>
          </cell>
          <cell r="D1010" t="str">
            <v>CUNDINAMARCA</v>
          </cell>
          <cell r="E1010">
            <v>672</v>
          </cell>
          <cell r="F1010">
            <v>97</v>
          </cell>
          <cell r="G1010" t="str">
            <v>D</v>
          </cell>
          <cell r="R1010">
            <v>0</v>
          </cell>
          <cell r="X1010">
            <v>1</v>
          </cell>
        </row>
        <row r="1011">
          <cell r="C1011" t="str">
            <v>ABRIAQUI</v>
          </cell>
          <cell r="D1011" t="str">
            <v>ANTIOQUIA</v>
          </cell>
          <cell r="E1011">
            <v>669</v>
          </cell>
          <cell r="F1011">
            <v>55</v>
          </cell>
          <cell r="G1011" t="str">
            <v>B</v>
          </cell>
          <cell r="R1011">
            <v>0</v>
          </cell>
        </row>
        <row r="1012">
          <cell r="C1012" t="str">
            <v>GAMA</v>
          </cell>
          <cell r="D1012" t="str">
            <v>CUNDINAMARCA</v>
          </cell>
          <cell r="E1012">
            <v>663</v>
          </cell>
          <cell r="F1012">
            <v>57</v>
          </cell>
          <cell r="G1012" t="str">
            <v>D</v>
          </cell>
          <cell r="R1012">
            <v>0</v>
          </cell>
        </row>
        <row r="1013">
          <cell r="C1013" t="str">
            <v>SURATA</v>
          </cell>
          <cell r="D1013" t="str">
            <v>SANTANDER</v>
          </cell>
          <cell r="E1013">
            <v>661</v>
          </cell>
          <cell r="F1013">
            <v>75</v>
          </cell>
          <cell r="G1013" t="str">
            <v>C</v>
          </cell>
          <cell r="R1013">
            <v>0</v>
          </cell>
        </row>
        <row r="1014">
          <cell r="C1014" t="str">
            <v>MOLAGAVITA</v>
          </cell>
          <cell r="D1014" t="str">
            <v>SANTANDER</v>
          </cell>
          <cell r="E1014">
            <v>659</v>
          </cell>
          <cell r="F1014">
            <v>89</v>
          </cell>
          <cell r="G1014" t="str">
            <v>D</v>
          </cell>
          <cell r="R1014">
            <v>0</v>
          </cell>
        </row>
        <row r="1015">
          <cell r="C1015" t="str">
            <v>LA PLAYA</v>
          </cell>
          <cell r="D1015" t="str">
            <v>NORTE DE SANTANDER</v>
          </cell>
          <cell r="E1015">
            <v>656</v>
          </cell>
          <cell r="F1015">
            <v>86</v>
          </cell>
          <cell r="G1015" t="str">
            <v>D</v>
          </cell>
          <cell r="R1015">
            <v>0</v>
          </cell>
        </row>
        <row r="1016">
          <cell r="C1016" t="str">
            <v>SAN CAYETANO</v>
          </cell>
          <cell r="D1016" t="str">
            <v>CUNDINAMARCA</v>
          </cell>
          <cell r="E1016">
            <v>651</v>
          </cell>
          <cell r="F1016">
            <v>33</v>
          </cell>
          <cell r="G1016" t="str">
            <v>B</v>
          </cell>
          <cell r="R1016">
            <v>0</v>
          </cell>
        </row>
        <row r="1017">
          <cell r="C1017" t="str">
            <v>COROMORO</v>
          </cell>
          <cell r="D1017" t="str">
            <v>SANTANDER</v>
          </cell>
          <cell r="E1017">
            <v>648</v>
          </cell>
          <cell r="F1017">
            <v>18</v>
          </cell>
          <cell r="G1017" t="str">
            <v>D</v>
          </cell>
          <cell r="R1017">
            <v>0</v>
          </cell>
        </row>
        <row r="1018">
          <cell r="C1018" t="str">
            <v>CARURU</v>
          </cell>
          <cell r="D1018" t="str">
            <v>VAUPES</v>
          </cell>
          <cell r="E1018">
            <v>641</v>
          </cell>
          <cell r="F1018">
            <v>7</v>
          </cell>
          <cell r="G1018" t="str">
            <v>A</v>
          </cell>
          <cell r="R1018">
            <v>0</v>
          </cell>
        </row>
        <row r="1019">
          <cell r="C1019" t="str">
            <v>SAN JUANITO</v>
          </cell>
          <cell r="D1019" t="str">
            <v>META</v>
          </cell>
          <cell r="E1019">
            <v>640</v>
          </cell>
          <cell r="F1019">
            <v>12</v>
          </cell>
          <cell r="G1019" t="str">
            <v>D</v>
          </cell>
          <cell r="R1019">
            <v>0</v>
          </cell>
        </row>
        <row r="1020">
          <cell r="C1020" t="str">
            <v>OCAMONTE</v>
          </cell>
          <cell r="D1020" t="str">
            <v>SANTANDER</v>
          </cell>
          <cell r="E1020">
            <v>633</v>
          </cell>
          <cell r="F1020">
            <v>36</v>
          </cell>
          <cell r="G1020" t="str">
            <v>C</v>
          </cell>
          <cell r="R1020">
            <v>0</v>
          </cell>
        </row>
        <row r="1021">
          <cell r="C1021" t="str">
            <v>PANQUEBA</v>
          </cell>
          <cell r="D1021" t="str">
            <v>BOYACA</v>
          </cell>
          <cell r="E1021">
            <v>628</v>
          </cell>
          <cell r="F1021">
            <v>77</v>
          </cell>
          <cell r="G1021" t="str">
            <v>B</v>
          </cell>
          <cell r="R1021">
            <v>0</v>
          </cell>
        </row>
        <row r="1022">
          <cell r="C1022" t="str">
            <v>MOTAVITA</v>
          </cell>
          <cell r="D1022" t="str">
            <v>BOYACA</v>
          </cell>
          <cell r="E1022">
            <v>625</v>
          </cell>
          <cell r="F1022">
            <v>60</v>
          </cell>
          <cell r="G1022" t="str">
            <v>B</v>
          </cell>
          <cell r="R1022">
            <v>0</v>
          </cell>
        </row>
        <row r="1023">
          <cell r="C1023" t="str">
            <v>PALMAS SOCORRO</v>
          </cell>
          <cell r="D1023" t="str">
            <v>SANTANDER</v>
          </cell>
          <cell r="E1023">
            <v>622</v>
          </cell>
          <cell r="F1023">
            <v>14</v>
          </cell>
          <cell r="G1023" t="str">
            <v>D</v>
          </cell>
          <cell r="R1023">
            <v>0</v>
          </cell>
        </row>
        <row r="1024">
          <cell r="C1024" t="str">
            <v>ENCISO</v>
          </cell>
          <cell r="D1024" t="str">
            <v>SANTANDER</v>
          </cell>
          <cell r="E1024">
            <v>622</v>
          </cell>
          <cell r="F1024">
            <v>44</v>
          </cell>
          <cell r="G1024" t="str">
            <v>D</v>
          </cell>
          <cell r="R1024">
            <v>0</v>
          </cell>
        </row>
        <row r="1025">
          <cell r="C1025" t="str">
            <v>JERICO</v>
          </cell>
          <cell r="D1025" t="str">
            <v>BOYACA</v>
          </cell>
          <cell r="E1025">
            <v>604</v>
          </cell>
          <cell r="F1025">
            <v>77</v>
          </cell>
          <cell r="G1025" t="str">
            <v>B</v>
          </cell>
          <cell r="R1025">
            <v>0</v>
          </cell>
        </row>
        <row r="1026">
          <cell r="C1026" t="str">
            <v>CARCASI</v>
          </cell>
          <cell r="D1026" t="str">
            <v>SANTANDER</v>
          </cell>
          <cell r="E1026">
            <v>602</v>
          </cell>
          <cell r="F1026">
            <v>40</v>
          </cell>
          <cell r="G1026" t="str">
            <v>B</v>
          </cell>
          <cell r="R1026">
            <v>0</v>
          </cell>
        </row>
        <row r="1027">
          <cell r="C1027" t="str">
            <v>VILLAGOMEZ</v>
          </cell>
          <cell r="D1027" t="str">
            <v>CUNDINAMARCA</v>
          </cell>
          <cell r="E1027">
            <v>598</v>
          </cell>
          <cell r="F1027">
            <v>62</v>
          </cell>
          <cell r="G1027" t="str">
            <v>B</v>
          </cell>
          <cell r="R1027">
            <v>0</v>
          </cell>
        </row>
        <row r="1028">
          <cell r="C1028" t="str">
            <v>MUTISCUA</v>
          </cell>
          <cell r="D1028" t="str">
            <v>NORTE DE SANTANDER</v>
          </cell>
          <cell r="E1028">
            <v>589</v>
          </cell>
          <cell r="F1028">
            <v>82</v>
          </cell>
          <cell r="G1028" t="str">
            <v>B</v>
          </cell>
          <cell r="R1028">
            <v>0</v>
          </cell>
        </row>
        <row r="1029">
          <cell r="C1029" t="str">
            <v>TOTA</v>
          </cell>
          <cell r="D1029" t="str">
            <v>BOYACA</v>
          </cell>
          <cell r="E1029">
            <v>583</v>
          </cell>
          <cell r="F1029">
            <v>28</v>
          </cell>
          <cell r="G1029" t="str">
            <v>B</v>
          </cell>
          <cell r="R1029">
            <v>0</v>
          </cell>
        </row>
        <row r="1030">
          <cell r="C1030" t="str">
            <v>SAN PEDRO DE CARTAGO</v>
          </cell>
          <cell r="D1030" t="str">
            <v>NARIÑO</v>
          </cell>
          <cell r="E1030">
            <v>582</v>
          </cell>
          <cell r="F1030">
            <v>16</v>
          </cell>
          <cell r="G1030" t="str">
            <v>B</v>
          </cell>
          <cell r="R1030">
            <v>0</v>
          </cell>
        </row>
        <row r="1031">
          <cell r="C1031" t="str">
            <v>PULI</v>
          </cell>
          <cell r="D1031" t="str">
            <v>CUNDINAMARCA</v>
          </cell>
          <cell r="E1031">
            <v>577</v>
          </cell>
          <cell r="F1031">
            <v>48</v>
          </cell>
          <cell r="G1031" t="str">
            <v>C</v>
          </cell>
          <cell r="R1031">
            <v>0</v>
          </cell>
        </row>
        <row r="1032">
          <cell r="C1032" t="str">
            <v>CHARTA</v>
          </cell>
          <cell r="D1032" t="str">
            <v>SANTANDER</v>
          </cell>
          <cell r="E1032">
            <v>575</v>
          </cell>
          <cell r="F1032">
            <v>43</v>
          </cell>
          <cell r="G1032" t="str">
            <v>D</v>
          </cell>
          <cell r="R1032">
            <v>0</v>
          </cell>
        </row>
        <row r="1033">
          <cell r="C1033" t="str">
            <v>SATIVANORTE</v>
          </cell>
          <cell r="D1033" t="str">
            <v>BOYACA</v>
          </cell>
          <cell r="E1033">
            <v>571</v>
          </cell>
          <cell r="F1033">
            <v>45</v>
          </cell>
          <cell r="G1033" t="str">
            <v>B</v>
          </cell>
          <cell r="R1033">
            <v>0</v>
          </cell>
        </row>
        <row r="1034">
          <cell r="C1034" t="str">
            <v>SANTA HELENA DEL OPON</v>
          </cell>
          <cell r="D1034" t="str">
            <v>SANTANDER</v>
          </cell>
          <cell r="E1034">
            <v>569</v>
          </cell>
          <cell r="F1034">
            <v>24</v>
          </cell>
          <cell r="G1034" t="str">
            <v>D</v>
          </cell>
          <cell r="R1034">
            <v>0</v>
          </cell>
        </row>
        <row r="1035">
          <cell r="C1035" t="str">
            <v>TIBACUY</v>
          </cell>
          <cell r="D1035" t="str">
            <v>CUNDINAMARCA</v>
          </cell>
          <cell r="E1035">
            <v>569</v>
          </cell>
          <cell r="F1035">
            <v>52</v>
          </cell>
          <cell r="G1035" t="str">
            <v>C</v>
          </cell>
          <cell r="R1035">
            <v>0</v>
          </cell>
        </row>
        <row r="1036">
          <cell r="C1036" t="str">
            <v>RECETOR</v>
          </cell>
          <cell r="D1036" t="str">
            <v>CASANARE</v>
          </cell>
          <cell r="E1036">
            <v>568</v>
          </cell>
          <cell r="F1036">
            <v>18</v>
          </cell>
          <cell r="G1036" t="str">
            <v>B</v>
          </cell>
          <cell r="R1036">
            <v>0</v>
          </cell>
        </row>
        <row r="1037">
          <cell r="C1037" t="str">
            <v>GUACAMAYAS</v>
          </cell>
          <cell r="D1037" t="str">
            <v>BOYACA</v>
          </cell>
          <cell r="E1037">
            <v>566</v>
          </cell>
          <cell r="F1037">
            <v>66</v>
          </cell>
          <cell r="G1037" t="str">
            <v>B</v>
          </cell>
          <cell r="R1037">
            <v>0</v>
          </cell>
        </row>
        <row r="1038">
          <cell r="C1038" t="str">
            <v>VETAS</v>
          </cell>
          <cell r="D1038" t="str">
            <v>SANTANDER</v>
          </cell>
          <cell r="E1038">
            <v>559</v>
          </cell>
          <cell r="F1038">
            <v>58</v>
          </cell>
          <cell r="G1038" t="str">
            <v>C</v>
          </cell>
          <cell r="R1038">
            <v>0</v>
          </cell>
        </row>
        <row r="1039">
          <cell r="C1039" t="str">
            <v>CHIPATA</v>
          </cell>
          <cell r="D1039" t="str">
            <v>SANTANDER</v>
          </cell>
          <cell r="E1039">
            <v>551</v>
          </cell>
          <cell r="F1039">
            <v>22</v>
          </cell>
          <cell r="G1039" t="str">
            <v>C</v>
          </cell>
          <cell r="R1039">
            <v>0</v>
          </cell>
        </row>
        <row r="1040">
          <cell r="C1040" t="str">
            <v>BUCARASICA</v>
          </cell>
          <cell r="D1040" t="str">
            <v>NORTE DE SANTANDER</v>
          </cell>
          <cell r="E1040">
            <v>549</v>
          </cell>
          <cell r="F1040">
            <v>33</v>
          </cell>
          <cell r="G1040" t="str">
            <v>D</v>
          </cell>
          <cell r="R1040">
            <v>0</v>
          </cell>
        </row>
        <row r="1041">
          <cell r="C1041" t="str">
            <v>BRICEÑO</v>
          </cell>
          <cell r="D1041" t="str">
            <v>BOYACA</v>
          </cell>
          <cell r="E1041">
            <v>541</v>
          </cell>
          <cell r="F1041">
            <v>97</v>
          </cell>
          <cell r="G1041" t="str">
            <v>B</v>
          </cell>
          <cell r="R1041">
            <v>0</v>
          </cell>
        </row>
        <row r="1042">
          <cell r="C1042" t="str">
            <v>PAIME</v>
          </cell>
          <cell r="D1042" t="str">
            <v>CUNDINAMARCA</v>
          </cell>
          <cell r="E1042">
            <v>517</v>
          </cell>
          <cell r="F1042">
            <v>39</v>
          </cell>
          <cell r="G1042" t="str">
            <v>C</v>
          </cell>
          <cell r="R1042">
            <v>0</v>
          </cell>
        </row>
        <row r="1043">
          <cell r="C1043" t="str">
            <v>TONA</v>
          </cell>
          <cell r="D1043" t="str">
            <v>SANTANDER</v>
          </cell>
          <cell r="E1043">
            <v>508</v>
          </cell>
          <cell r="F1043">
            <v>73</v>
          </cell>
          <cell r="G1043" t="str">
            <v>D</v>
          </cell>
          <cell r="R1043">
            <v>0</v>
          </cell>
        </row>
        <row r="1044">
          <cell r="C1044" t="str">
            <v>LA SALINA</v>
          </cell>
          <cell r="D1044" t="str">
            <v>CASANARE</v>
          </cell>
          <cell r="E1044">
            <v>506</v>
          </cell>
          <cell r="F1044">
            <v>20</v>
          </cell>
          <cell r="G1044" t="str">
            <v>B</v>
          </cell>
          <cell r="R1044">
            <v>0</v>
          </cell>
        </row>
        <row r="1045">
          <cell r="C1045" t="str">
            <v>RONDON</v>
          </cell>
          <cell r="D1045" t="str">
            <v>BOYACA</v>
          </cell>
          <cell r="E1045">
            <v>501</v>
          </cell>
          <cell r="F1045">
            <v>75</v>
          </cell>
          <cell r="G1045" t="str">
            <v>B</v>
          </cell>
          <cell r="R1045">
            <v>0</v>
          </cell>
        </row>
        <row r="1046">
          <cell r="C1046" t="str">
            <v>GUAPOTA</v>
          </cell>
          <cell r="D1046" t="str">
            <v>SANTANDER</v>
          </cell>
          <cell r="E1046">
            <v>496</v>
          </cell>
          <cell r="F1046">
            <v>52</v>
          </cell>
          <cell r="G1046" t="str">
            <v>D</v>
          </cell>
          <cell r="R1046">
            <v>0</v>
          </cell>
        </row>
        <row r="1047">
          <cell r="C1047" t="str">
            <v>PAYA</v>
          </cell>
          <cell r="D1047" t="str">
            <v>BOYACA</v>
          </cell>
          <cell r="E1047">
            <v>495</v>
          </cell>
          <cell r="F1047">
            <v>26</v>
          </cell>
          <cell r="G1047" t="str">
            <v>A</v>
          </cell>
          <cell r="R1047">
            <v>0</v>
          </cell>
        </row>
        <row r="1048">
          <cell r="C1048" t="str">
            <v>COVARACHIA</v>
          </cell>
          <cell r="D1048" t="str">
            <v>BOYACA</v>
          </cell>
          <cell r="E1048">
            <v>486</v>
          </cell>
          <cell r="F1048">
            <v>28</v>
          </cell>
          <cell r="G1048" t="str">
            <v>B</v>
          </cell>
          <cell r="R1048">
            <v>0</v>
          </cell>
          <cell r="X1048">
            <v>1</v>
          </cell>
        </row>
        <row r="1049">
          <cell r="C1049" t="str">
            <v>TIBIRITA</v>
          </cell>
          <cell r="D1049" t="str">
            <v>CUNDINAMARCA</v>
          </cell>
          <cell r="E1049">
            <v>485</v>
          </cell>
          <cell r="F1049">
            <v>65</v>
          </cell>
          <cell r="G1049" t="str">
            <v>C</v>
          </cell>
          <cell r="R1049">
            <v>0</v>
          </cell>
        </row>
        <row r="1050">
          <cell r="C1050" t="str">
            <v>CHIVOR</v>
          </cell>
          <cell r="D1050" t="str">
            <v>BOYACA</v>
          </cell>
          <cell r="E1050">
            <v>482</v>
          </cell>
          <cell r="F1050">
            <v>71</v>
          </cell>
          <cell r="G1050" t="str">
            <v>B</v>
          </cell>
          <cell r="R1050">
            <v>0</v>
          </cell>
        </row>
        <row r="1051">
          <cell r="C1051" t="str">
            <v>CEPITA</v>
          </cell>
          <cell r="D1051" t="str">
            <v>SANTANDER</v>
          </cell>
          <cell r="E1051">
            <v>477</v>
          </cell>
          <cell r="F1051">
            <v>14</v>
          </cell>
          <cell r="G1051" t="str">
            <v>B</v>
          </cell>
          <cell r="R1051">
            <v>0</v>
          </cell>
        </row>
        <row r="1052">
          <cell r="C1052" t="str">
            <v>SAN MIGUEL DE SEMA</v>
          </cell>
          <cell r="D1052" t="str">
            <v>BOYACA</v>
          </cell>
          <cell r="E1052">
            <v>471</v>
          </cell>
          <cell r="F1052">
            <v>51</v>
          </cell>
          <cell r="G1052" t="str">
            <v>C</v>
          </cell>
          <cell r="R1052">
            <v>0</v>
          </cell>
        </row>
        <row r="1053">
          <cell r="C1053" t="str">
            <v>CABRERA</v>
          </cell>
          <cell r="D1053" t="str">
            <v>SANTANDER</v>
          </cell>
          <cell r="E1053">
            <v>465</v>
          </cell>
          <cell r="F1053">
            <v>11</v>
          </cell>
          <cell r="G1053" t="str">
            <v>C</v>
          </cell>
          <cell r="R1053">
            <v>0</v>
          </cell>
        </row>
        <row r="1054">
          <cell r="C1054" t="str">
            <v>SORA</v>
          </cell>
          <cell r="D1054" t="str">
            <v>BOYACA</v>
          </cell>
          <cell r="E1054">
            <v>462</v>
          </cell>
          <cell r="F1054">
            <v>38</v>
          </cell>
          <cell r="G1054" t="str">
            <v>B</v>
          </cell>
          <cell r="R1054">
            <v>0</v>
          </cell>
        </row>
        <row r="1055">
          <cell r="C1055" t="str">
            <v>PACHAVITA</v>
          </cell>
          <cell r="D1055" t="str">
            <v>BOYACA</v>
          </cell>
          <cell r="E1055">
            <v>451</v>
          </cell>
          <cell r="F1055">
            <v>58</v>
          </cell>
          <cell r="G1055" t="str">
            <v>B</v>
          </cell>
          <cell r="R1055">
            <v>0</v>
          </cell>
        </row>
        <row r="1056">
          <cell r="C1056" t="str">
            <v>EL PEÑON</v>
          </cell>
          <cell r="D1056" t="str">
            <v>CUNDINAMARCA</v>
          </cell>
          <cell r="E1056">
            <v>436</v>
          </cell>
          <cell r="F1056">
            <v>64</v>
          </cell>
          <cell r="G1056" t="str">
            <v>C</v>
          </cell>
          <cell r="R1056">
            <v>0</v>
          </cell>
          <cell r="X1056">
            <v>1</v>
          </cell>
        </row>
        <row r="1057">
          <cell r="C1057" t="str">
            <v>ALBANIA</v>
          </cell>
          <cell r="D1057" t="str">
            <v>SANTANDER</v>
          </cell>
          <cell r="E1057">
            <v>429</v>
          </cell>
          <cell r="F1057">
            <v>40</v>
          </cell>
          <cell r="G1057" t="str">
            <v>D</v>
          </cell>
          <cell r="R1057">
            <v>0</v>
          </cell>
          <cell r="X1057">
            <v>1</v>
          </cell>
        </row>
        <row r="1058">
          <cell r="C1058" t="str">
            <v>SUCRE</v>
          </cell>
          <cell r="D1058" t="str">
            <v>SANTANDER</v>
          </cell>
          <cell r="E1058">
            <v>423</v>
          </cell>
          <cell r="F1058">
            <v>16</v>
          </cell>
          <cell r="G1058" t="str">
            <v>E</v>
          </cell>
          <cell r="R1058">
            <v>0</v>
          </cell>
        </row>
        <row r="1059">
          <cell r="C1059" t="str">
            <v>BOYACA</v>
          </cell>
          <cell r="D1059" t="str">
            <v>BOYACA</v>
          </cell>
          <cell r="E1059">
            <v>423</v>
          </cell>
          <cell r="F1059">
            <v>64</v>
          </cell>
          <cell r="G1059" t="str">
            <v>C</v>
          </cell>
          <cell r="R1059">
            <v>0</v>
          </cell>
        </row>
        <row r="1060">
          <cell r="C1060" t="str">
            <v>EL GUACAMAYO</v>
          </cell>
          <cell r="D1060" t="str">
            <v>SANTANDER</v>
          </cell>
          <cell r="E1060">
            <v>418</v>
          </cell>
          <cell r="F1060">
            <v>44</v>
          </cell>
          <cell r="G1060" t="str">
            <v>D</v>
          </cell>
          <cell r="R1060">
            <v>0</v>
          </cell>
        </row>
        <row r="1061">
          <cell r="C1061" t="str">
            <v>GAMBITA</v>
          </cell>
          <cell r="D1061" t="str">
            <v>SANTANDER</v>
          </cell>
          <cell r="E1061">
            <v>417</v>
          </cell>
          <cell r="F1061">
            <v>29</v>
          </cell>
          <cell r="G1061" t="str">
            <v>C</v>
          </cell>
          <cell r="R1061">
            <v>0</v>
          </cell>
        </row>
        <row r="1062">
          <cell r="C1062" t="str">
            <v>ENCINO</v>
          </cell>
          <cell r="D1062" t="str">
            <v>SANTANDER</v>
          </cell>
          <cell r="E1062">
            <v>413</v>
          </cell>
          <cell r="F1062">
            <v>24</v>
          </cell>
          <cell r="G1062" t="str">
            <v>D</v>
          </cell>
          <cell r="R1062">
            <v>0</v>
          </cell>
        </row>
        <row r="1063">
          <cell r="C1063" t="str">
            <v>BERBEO</v>
          </cell>
          <cell r="D1063" t="str">
            <v>BOYACA</v>
          </cell>
          <cell r="E1063">
            <v>413</v>
          </cell>
          <cell r="F1063">
            <v>45</v>
          </cell>
          <cell r="G1063" t="str">
            <v>B</v>
          </cell>
          <cell r="R1063">
            <v>0</v>
          </cell>
        </row>
        <row r="1064">
          <cell r="C1064" t="str">
            <v>SAN BENITO</v>
          </cell>
          <cell r="D1064" t="str">
            <v>SANTANDER</v>
          </cell>
          <cell r="E1064">
            <v>408</v>
          </cell>
          <cell r="F1064">
            <v>14</v>
          </cell>
          <cell r="G1064" t="str">
            <v>C</v>
          </cell>
          <cell r="R1064">
            <v>0</v>
          </cell>
        </row>
        <row r="1065">
          <cell r="C1065" t="str">
            <v>TINJACA</v>
          </cell>
          <cell r="D1065" t="str">
            <v>BOYACA</v>
          </cell>
          <cell r="E1065">
            <v>408</v>
          </cell>
          <cell r="F1065">
            <v>49</v>
          </cell>
          <cell r="G1065" t="str">
            <v>C</v>
          </cell>
          <cell r="R1065">
            <v>0</v>
          </cell>
        </row>
        <row r="1066">
          <cell r="C1066" t="str">
            <v>BITUIMA</v>
          </cell>
          <cell r="D1066" t="str">
            <v>CUNDINAMARCA</v>
          </cell>
          <cell r="E1066">
            <v>408</v>
          </cell>
          <cell r="F1066">
            <v>46</v>
          </cell>
          <cell r="G1066" t="str">
            <v>B</v>
          </cell>
          <cell r="R1066">
            <v>0</v>
          </cell>
          <cell r="X1066">
            <v>1</v>
          </cell>
        </row>
        <row r="1067">
          <cell r="C1067" t="str">
            <v>SAN MIGUEL</v>
          </cell>
          <cell r="D1067" t="str">
            <v>SANTANDER</v>
          </cell>
          <cell r="E1067">
            <v>398</v>
          </cell>
          <cell r="F1067">
            <v>52</v>
          </cell>
          <cell r="G1067" t="str">
            <v>B</v>
          </cell>
          <cell r="R1067">
            <v>0</v>
          </cell>
        </row>
        <row r="1068">
          <cell r="C1068" t="str">
            <v>BETEITIVA</v>
          </cell>
          <cell r="D1068" t="str">
            <v>BOYACA</v>
          </cell>
          <cell r="E1068">
            <v>389</v>
          </cell>
          <cell r="F1068">
            <v>19</v>
          </cell>
          <cell r="G1068" t="str">
            <v>B</v>
          </cell>
          <cell r="R1068">
            <v>0</v>
          </cell>
        </row>
        <row r="1069">
          <cell r="C1069" t="str">
            <v>GACHANTIVA </v>
          </cell>
          <cell r="D1069" t="str">
            <v>BOYACA</v>
          </cell>
          <cell r="E1069">
            <v>381</v>
          </cell>
          <cell r="F1069">
            <v>95</v>
          </cell>
          <cell r="G1069" t="str">
            <v>B</v>
          </cell>
          <cell r="R1069">
            <v>0</v>
          </cell>
        </row>
        <row r="1070">
          <cell r="C1070" t="str">
            <v>PAISPAMBA</v>
          </cell>
          <cell r="D1070" t="str">
            <v>CAUCA</v>
          </cell>
          <cell r="E1070">
            <v>375</v>
          </cell>
          <cell r="F1070">
            <v>4</v>
          </cell>
          <cell r="G1070" t="str">
            <v>D</v>
          </cell>
          <cell r="R1070">
            <v>0</v>
          </cell>
        </row>
        <row r="1071">
          <cell r="C1071" t="str">
            <v>VIRACACHA</v>
          </cell>
          <cell r="D1071" t="str">
            <v>BOYACA</v>
          </cell>
          <cell r="E1071">
            <v>372</v>
          </cell>
          <cell r="F1071">
            <v>55</v>
          </cell>
          <cell r="G1071" t="str">
            <v>B</v>
          </cell>
          <cell r="R1071">
            <v>0</v>
          </cell>
        </row>
        <row r="1072">
          <cell r="C1072" t="str">
            <v>CONFINES</v>
          </cell>
          <cell r="D1072" t="str">
            <v>SANTANDER</v>
          </cell>
          <cell r="E1072">
            <v>362</v>
          </cell>
          <cell r="F1072">
            <v>17</v>
          </cell>
          <cell r="G1072" t="str">
            <v>D</v>
          </cell>
          <cell r="R1072">
            <v>0</v>
          </cell>
        </row>
        <row r="1073">
          <cell r="C1073" t="str">
            <v>SANTA BARBARA</v>
          </cell>
          <cell r="D1073" t="str">
            <v>SANTANDER</v>
          </cell>
          <cell r="E1073">
            <v>358</v>
          </cell>
          <cell r="F1073">
            <v>32</v>
          </cell>
          <cell r="G1073" t="str">
            <v>C</v>
          </cell>
          <cell r="R1073">
            <v>0</v>
          </cell>
        </row>
        <row r="1074">
          <cell r="C1074" t="str">
            <v>QUEBRADANEGRA</v>
          </cell>
          <cell r="D1074" t="str">
            <v>CUNDINAMARCA</v>
          </cell>
          <cell r="E1074">
            <v>349</v>
          </cell>
          <cell r="F1074">
            <v>33</v>
          </cell>
          <cell r="G1074" t="str">
            <v>E</v>
          </cell>
          <cell r="R1074">
            <v>0</v>
          </cell>
        </row>
        <row r="1075">
          <cell r="C1075" t="str">
            <v>BELTRAN</v>
          </cell>
          <cell r="D1075" t="str">
            <v>CUNDINAMARCA</v>
          </cell>
          <cell r="E1075">
            <v>346</v>
          </cell>
          <cell r="F1075">
            <v>25</v>
          </cell>
          <cell r="G1075" t="str">
            <v>B</v>
          </cell>
          <cell r="R1075">
            <v>0</v>
          </cell>
        </row>
        <row r="1076">
          <cell r="C1076" t="str">
            <v>PISBA</v>
          </cell>
          <cell r="D1076" t="str">
            <v>BOYACA</v>
          </cell>
          <cell r="E1076">
            <v>339</v>
          </cell>
          <cell r="F1076">
            <v>14</v>
          </cell>
          <cell r="G1076" t="str">
            <v>A</v>
          </cell>
          <cell r="R1076">
            <v>0</v>
          </cell>
        </row>
        <row r="1077">
          <cell r="C1077" t="str">
            <v>BUSBANZA</v>
          </cell>
          <cell r="D1077" t="str">
            <v>BOYACA</v>
          </cell>
          <cell r="E1077">
            <v>300</v>
          </cell>
          <cell r="F1077">
            <v>37</v>
          </cell>
          <cell r="G1077" t="str">
            <v>A</v>
          </cell>
          <cell r="R1077">
            <v>0</v>
          </cell>
        </row>
        <row r="1078">
          <cell r="C1078" t="str">
            <v>SATIVASUR</v>
          </cell>
          <cell r="D1078" t="str">
            <v>BOYACA</v>
          </cell>
          <cell r="E1078">
            <v>298</v>
          </cell>
          <cell r="F1078">
            <v>8</v>
          </cell>
          <cell r="G1078" t="str">
            <v>A</v>
          </cell>
          <cell r="R1078">
            <v>0</v>
          </cell>
        </row>
        <row r="1079">
          <cell r="C1079" t="str">
            <v>MACARAVITA</v>
          </cell>
          <cell r="D1079" t="str">
            <v>SANTANDER</v>
          </cell>
          <cell r="E1079">
            <v>297</v>
          </cell>
          <cell r="F1079">
            <v>18</v>
          </cell>
          <cell r="G1079" t="str">
            <v>C</v>
          </cell>
          <cell r="R1079">
            <v>0</v>
          </cell>
        </row>
        <row r="1080">
          <cell r="C1080" t="str">
            <v>ALMEIDA</v>
          </cell>
          <cell r="D1080" t="str">
            <v>BOYACA</v>
          </cell>
          <cell r="E1080">
            <v>296</v>
          </cell>
          <cell r="F1080">
            <v>3</v>
          </cell>
          <cell r="G1080" t="str">
            <v>B</v>
          </cell>
          <cell r="R1080">
            <v>0</v>
          </cell>
        </row>
        <row r="1081">
          <cell r="C1081" t="str">
            <v>OLAYA</v>
          </cell>
          <cell r="D1081" t="str">
            <v>ANTIOQUIA</v>
          </cell>
          <cell r="E1081">
            <v>291</v>
          </cell>
          <cell r="F1081">
            <v>9</v>
          </cell>
          <cell r="G1081" t="str">
            <v>C</v>
          </cell>
          <cell r="R1081">
            <v>0</v>
          </cell>
        </row>
        <row r="1082">
          <cell r="C1082" t="str">
            <v>TUNUNGUA</v>
          </cell>
          <cell r="D1082" t="str">
            <v>BOYACA</v>
          </cell>
          <cell r="E1082">
            <v>291</v>
          </cell>
          <cell r="F1082">
            <v>67</v>
          </cell>
          <cell r="G1082" t="str">
            <v>B</v>
          </cell>
          <cell r="R1082">
            <v>0</v>
          </cell>
        </row>
        <row r="1083">
          <cell r="C1083" t="str">
            <v>BETE</v>
          </cell>
          <cell r="D1083" t="str">
            <v>CHOCO</v>
          </cell>
          <cell r="E1083">
            <v>290</v>
          </cell>
          <cell r="F1083">
            <v>0</v>
          </cell>
          <cell r="G1083" t="str">
            <v>A</v>
          </cell>
          <cell r="R1083">
            <v>0</v>
          </cell>
        </row>
        <row r="1084">
          <cell r="C1084" t="str">
            <v>OICATA</v>
          </cell>
          <cell r="D1084" t="str">
            <v>BOYACA</v>
          </cell>
          <cell r="E1084">
            <v>283</v>
          </cell>
          <cell r="F1084">
            <v>34</v>
          </cell>
          <cell r="G1084" t="str">
            <v>B</v>
          </cell>
          <cell r="R1084">
            <v>0</v>
          </cell>
        </row>
        <row r="1085">
          <cell r="C1085" t="str">
            <v>CALDAS</v>
          </cell>
          <cell r="D1085" t="str">
            <v>BOYACA</v>
          </cell>
          <cell r="E1085">
            <v>242</v>
          </cell>
          <cell r="F1085">
            <v>35</v>
          </cell>
          <cell r="G1085" t="str">
            <v>D</v>
          </cell>
          <cell r="R1085">
            <v>0</v>
          </cell>
        </row>
        <row r="1086">
          <cell r="C1086" t="str">
            <v>FUQUENE</v>
          </cell>
          <cell r="D1086" t="str">
            <v>CUNDINAMARCA</v>
          </cell>
          <cell r="E1086">
            <v>231</v>
          </cell>
          <cell r="F1086">
            <v>25</v>
          </cell>
          <cell r="G1086" t="str">
            <v>D</v>
          </cell>
          <cell r="R1086">
            <v>0</v>
          </cell>
        </row>
        <row r="1087">
          <cell r="C1087" t="str">
            <v>LA AGUADA</v>
          </cell>
          <cell r="D1087" t="str">
            <v>SANTANDER</v>
          </cell>
          <cell r="E1087">
            <v>227</v>
          </cell>
          <cell r="F1087">
            <v>6</v>
          </cell>
          <cell r="G1087" t="str">
            <v>B</v>
          </cell>
          <cell r="R1087">
            <v>0</v>
          </cell>
        </row>
        <row r="1088">
          <cell r="C1088" t="str">
            <v>CUITIVA</v>
          </cell>
          <cell r="D1088" t="str">
            <v>BOYACA</v>
          </cell>
          <cell r="E1088">
            <v>204</v>
          </cell>
          <cell r="F1088">
            <v>22</v>
          </cell>
          <cell r="G1088" t="str">
            <v>B</v>
          </cell>
          <cell r="R1088">
            <v>0</v>
          </cell>
        </row>
        <row r="1089">
          <cell r="C1089" t="str">
            <v>TUTAZA</v>
          </cell>
          <cell r="D1089" t="str">
            <v>BOYACA</v>
          </cell>
          <cell r="E1089">
            <v>193</v>
          </cell>
          <cell r="F1089">
            <v>16</v>
          </cell>
          <cell r="G1089" t="str">
            <v>A</v>
          </cell>
          <cell r="R1089">
            <v>0</v>
          </cell>
        </row>
        <row r="1090">
          <cell r="C1090" t="str">
            <v>TARAIRA</v>
          </cell>
          <cell r="D1090" t="str">
            <v>VAUPES</v>
          </cell>
          <cell r="E1090">
            <v>165</v>
          </cell>
          <cell r="F1090">
            <v>0</v>
          </cell>
          <cell r="G1090" t="str">
            <v>A</v>
          </cell>
          <cell r="R1090">
            <v>0</v>
          </cell>
        </row>
        <row r="1091">
          <cell r="C1091" t="str">
            <v>CHIQUIZA</v>
          </cell>
          <cell r="D1091" t="str">
            <v>BOYACA</v>
          </cell>
          <cell r="E1091">
            <v>99</v>
          </cell>
          <cell r="F1091">
            <v>6</v>
          </cell>
          <cell r="G1091" t="str">
            <v>C</v>
          </cell>
          <cell r="R1091">
            <v>0</v>
          </cell>
        </row>
        <row r="1092">
          <cell r="C1092" t="str">
            <v>JORDAN</v>
          </cell>
          <cell r="D1092" t="str">
            <v>SANTANDER</v>
          </cell>
          <cell r="E1092">
            <v>64</v>
          </cell>
          <cell r="F1092">
            <v>5</v>
          </cell>
          <cell r="G1092" t="str">
            <v>B</v>
          </cell>
          <cell r="R1092">
            <v>0</v>
          </cell>
        </row>
        <row r="1093">
          <cell r="C1093" t="str">
            <v>SIPI</v>
          </cell>
          <cell r="D1093" t="str">
            <v>CHOCO</v>
          </cell>
          <cell r="E1093">
            <v>57</v>
          </cell>
          <cell r="F1093">
            <v>0</v>
          </cell>
          <cell r="G1093" t="str">
            <v>A</v>
          </cell>
          <cell r="R1093">
            <v>0</v>
          </cell>
        </row>
        <row r="1094">
          <cell r="C1094" t="str">
            <v>ARGELIA</v>
          </cell>
          <cell r="D1094" t="str">
            <v>CAUCA</v>
          </cell>
          <cell r="E1094">
            <v>34</v>
          </cell>
          <cell r="F1094">
            <v>1</v>
          </cell>
          <cell r="G1094" t="str">
            <v>D</v>
          </cell>
          <cell r="R1094">
            <v>0</v>
          </cell>
        </row>
        <row r="1095">
          <cell r="C1095" t="str">
            <v>SAN ANTONIO DE PRADO</v>
          </cell>
          <cell r="E1095">
            <v>0</v>
          </cell>
          <cell r="F1095">
            <v>0</v>
          </cell>
          <cell r="G1095" t="str">
            <v>F</v>
          </cell>
          <cell r="R1095">
            <v>1</v>
          </cell>
        </row>
        <row r="1096">
          <cell r="C1096" t="str">
            <v>LA ESMERALDA</v>
          </cell>
          <cell r="E1096">
            <v>0</v>
          </cell>
          <cell r="F1096">
            <v>0</v>
          </cell>
          <cell r="G1096" t="str">
            <v>E</v>
          </cell>
          <cell r="R1096">
            <v>0</v>
          </cell>
        </row>
        <row r="1097">
          <cell r="C1097" t="str">
            <v>AGUACLARA</v>
          </cell>
          <cell r="E1097">
            <v>0</v>
          </cell>
          <cell r="F1097">
            <v>0</v>
          </cell>
          <cell r="G1097" t="str">
            <v>E</v>
          </cell>
          <cell r="R1097">
            <v>0</v>
          </cell>
        </row>
        <row r="1098">
          <cell r="C1098" t="str">
            <v>LA PLAYA</v>
          </cell>
          <cell r="E1098">
            <v>0</v>
          </cell>
          <cell r="F1098">
            <v>0</v>
          </cell>
          <cell r="G1098" t="str">
            <v>D</v>
          </cell>
          <cell r="R1098">
            <v>0</v>
          </cell>
        </row>
        <row r="1099">
          <cell r="C1099" t="str">
            <v>COSTARICA</v>
          </cell>
          <cell r="E1099">
            <v>0</v>
          </cell>
          <cell r="F1099">
            <v>0</v>
          </cell>
          <cell r="G1099" t="str">
            <v>D</v>
          </cell>
          <cell r="R1099">
            <v>0</v>
          </cell>
        </row>
        <row r="1100">
          <cell r="C1100" t="str">
            <v>CHICORAL</v>
          </cell>
          <cell r="D1100" t="str">
            <v>TOLIMA</v>
          </cell>
          <cell r="E1100">
            <v>0</v>
          </cell>
          <cell r="F1100">
            <v>0</v>
          </cell>
          <cell r="G1100" t="str">
            <v>D</v>
          </cell>
          <cell r="R1100">
            <v>1</v>
          </cell>
          <cell r="X1100">
            <v>1</v>
          </cell>
        </row>
        <row r="1101">
          <cell r="C1101" t="str">
            <v>COELLO COCORA</v>
          </cell>
          <cell r="E1101">
            <v>0</v>
          </cell>
          <cell r="F1101">
            <v>0</v>
          </cell>
          <cell r="G1101" t="str">
            <v>D</v>
          </cell>
          <cell r="R1101">
            <v>0</v>
          </cell>
        </row>
        <row r="1102">
          <cell r="C1102" t="str">
            <v>SAN PABLO</v>
          </cell>
          <cell r="E1102">
            <v>0</v>
          </cell>
          <cell r="F1102">
            <v>0</v>
          </cell>
          <cell r="G1102" t="str">
            <v>D</v>
          </cell>
          <cell r="R1102">
            <v>0</v>
          </cell>
        </row>
        <row r="1103">
          <cell r="C1103" t="str">
            <v>CHAPETON </v>
          </cell>
          <cell r="E1103">
            <v>0</v>
          </cell>
          <cell r="F1103">
            <v>0</v>
          </cell>
          <cell r="G1103" t="str">
            <v>D</v>
          </cell>
          <cell r="R1103">
            <v>0</v>
          </cell>
        </row>
        <row r="1104">
          <cell r="C1104" t="str">
            <v>SAN CRISTOBAL</v>
          </cell>
          <cell r="E1104">
            <v>0</v>
          </cell>
          <cell r="F1104">
            <v>0</v>
          </cell>
          <cell r="G1104" t="str">
            <v>D</v>
          </cell>
          <cell r="R1104">
            <v>0</v>
          </cell>
        </row>
        <row r="1105">
          <cell r="C1105" t="str">
            <v>PICALEÑA </v>
          </cell>
          <cell r="E1105">
            <v>0</v>
          </cell>
          <cell r="F1105">
            <v>0</v>
          </cell>
          <cell r="G1105" t="str">
            <v>C</v>
          </cell>
          <cell r="R1105">
            <v>0</v>
          </cell>
        </row>
        <row r="1106">
          <cell r="C1106" t="str">
            <v>GUACHACA</v>
          </cell>
          <cell r="D1106" t="str">
            <v>MAGDALENA</v>
          </cell>
          <cell r="E1106">
            <v>0</v>
          </cell>
          <cell r="F1106">
            <v>0</v>
          </cell>
          <cell r="G1106" t="str">
            <v>C</v>
          </cell>
          <cell r="R1106">
            <v>0</v>
          </cell>
        </row>
        <row r="1107">
          <cell r="C1107" t="str">
            <v>LA BOQUILLA</v>
          </cell>
          <cell r="E1107">
            <v>0</v>
          </cell>
          <cell r="F1107">
            <v>0</v>
          </cell>
          <cell r="G1107" t="str">
            <v>C</v>
          </cell>
          <cell r="R1107">
            <v>0</v>
          </cell>
        </row>
        <row r="1108">
          <cell r="C1108" t="str">
            <v>SAN PEDRO DE LA PAZ</v>
          </cell>
          <cell r="E1108">
            <v>0</v>
          </cell>
          <cell r="F1108">
            <v>0</v>
          </cell>
          <cell r="G1108" t="str">
            <v>C</v>
          </cell>
          <cell r="R1108">
            <v>0</v>
          </cell>
        </row>
        <row r="1109">
          <cell r="C1109" t="str">
            <v>BELENCITO</v>
          </cell>
          <cell r="D1109" t="str">
            <v>BOYACA</v>
          </cell>
          <cell r="E1109">
            <v>0</v>
          </cell>
          <cell r="F1109">
            <v>0</v>
          </cell>
          <cell r="G1109" t="str">
            <v>C</v>
          </cell>
          <cell r="R1109">
            <v>0</v>
          </cell>
        </row>
        <row r="1110">
          <cell r="C1110" t="str">
            <v>MAPIRIPAN</v>
          </cell>
          <cell r="D1110" t="str">
            <v>META</v>
          </cell>
          <cell r="E1110">
            <v>0</v>
          </cell>
          <cell r="F1110">
            <v>0</v>
          </cell>
          <cell r="G1110" t="str">
            <v>C</v>
          </cell>
          <cell r="R1110">
            <v>0</v>
          </cell>
        </row>
        <row r="1111">
          <cell r="C1111" t="str">
            <v>SAN ANTONIO DE ANACONIA</v>
          </cell>
          <cell r="E1111">
            <v>0</v>
          </cell>
          <cell r="F1111">
            <v>0</v>
          </cell>
          <cell r="G1111" t="str">
            <v>C</v>
          </cell>
          <cell r="R1111">
            <v>0</v>
          </cell>
        </row>
        <row r="1112">
          <cell r="C1112" t="str">
            <v>SAN ADOLFO</v>
          </cell>
          <cell r="E1112">
            <v>0</v>
          </cell>
          <cell r="F1112">
            <v>0</v>
          </cell>
          <cell r="G1112" t="str">
            <v>C</v>
          </cell>
          <cell r="R1112">
            <v>0</v>
          </cell>
        </row>
        <row r="1113">
          <cell r="C1113" t="str">
            <v>EL PABLON</v>
          </cell>
          <cell r="E1113">
            <v>0</v>
          </cell>
          <cell r="F1113">
            <v>0</v>
          </cell>
          <cell r="G1113" t="str">
            <v>C</v>
          </cell>
          <cell r="R1113">
            <v>0</v>
          </cell>
        </row>
        <row r="1114">
          <cell r="C1114" t="str">
            <v>RINCON SANTO</v>
          </cell>
          <cell r="E1114">
            <v>0</v>
          </cell>
          <cell r="F1114">
            <v>0</v>
          </cell>
          <cell r="G1114" t="str">
            <v>C</v>
          </cell>
          <cell r="R1114">
            <v>0</v>
          </cell>
        </row>
        <row r="1115">
          <cell r="C1115" t="str">
            <v>CAGUAN</v>
          </cell>
          <cell r="D1115" t="str">
            <v>HUILA</v>
          </cell>
          <cell r="E1115">
            <v>0</v>
          </cell>
          <cell r="F1115">
            <v>0</v>
          </cell>
          <cell r="G1115" t="str">
            <v>C</v>
          </cell>
          <cell r="R1115">
            <v>0</v>
          </cell>
          <cell r="X1115">
            <v>1</v>
          </cell>
        </row>
        <row r="1116">
          <cell r="C1116" t="str">
            <v>EL CENTRO</v>
          </cell>
          <cell r="D1116" t="str">
            <v>SANTANDER</v>
          </cell>
          <cell r="E1116">
            <v>0</v>
          </cell>
          <cell r="F1116">
            <v>0</v>
          </cell>
          <cell r="G1116" t="str">
            <v>C</v>
          </cell>
          <cell r="R1116">
            <v>0</v>
          </cell>
        </row>
        <row r="1117">
          <cell r="C1117" t="str">
            <v>LA PAILA</v>
          </cell>
          <cell r="D1117" t="str">
            <v>VALLE</v>
          </cell>
          <cell r="E1117">
            <v>0</v>
          </cell>
          <cell r="F1117">
            <v>0</v>
          </cell>
          <cell r="G1117" t="str">
            <v>B</v>
          </cell>
          <cell r="R1117">
            <v>0</v>
          </cell>
          <cell r="X1117">
            <v>1</v>
          </cell>
        </row>
        <row r="1118">
          <cell r="C1118" t="str">
            <v>FRIAS</v>
          </cell>
          <cell r="E1118">
            <v>0</v>
          </cell>
          <cell r="F1118">
            <v>0</v>
          </cell>
          <cell r="G1118" t="str">
            <v>B</v>
          </cell>
          <cell r="R1118">
            <v>0</v>
          </cell>
        </row>
        <row r="1119">
          <cell r="C1119" t="str">
            <v>CAPELLANIA</v>
          </cell>
          <cell r="E1119">
            <v>0</v>
          </cell>
          <cell r="F1119">
            <v>0</v>
          </cell>
          <cell r="G1119" t="str">
            <v>B</v>
          </cell>
          <cell r="R1119">
            <v>0</v>
          </cell>
        </row>
        <row r="1120">
          <cell r="C1120" t="str">
            <v>BORRERO AYERBE</v>
          </cell>
          <cell r="E1120">
            <v>0</v>
          </cell>
          <cell r="F1120">
            <v>0</v>
          </cell>
          <cell r="G1120" t="str">
            <v>B</v>
          </cell>
          <cell r="R1120">
            <v>0</v>
          </cell>
        </row>
        <row r="1121">
          <cell r="C1121" t="str">
            <v>TRES ESQUINAS</v>
          </cell>
          <cell r="E1121">
            <v>0</v>
          </cell>
          <cell r="F1121">
            <v>0</v>
          </cell>
          <cell r="G1121" t="str">
            <v>B</v>
          </cell>
          <cell r="R1121">
            <v>0</v>
          </cell>
        </row>
        <row r="1122">
          <cell r="C1122" t="str">
            <v>PUENTE DE PIEDRA</v>
          </cell>
          <cell r="E1122">
            <v>0</v>
          </cell>
          <cell r="F1122">
            <v>0</v>
          </cell>
          <cell r="G1122" t="str">
            <v>B</v>
          </cell>
          <cell r="R1122">
            <v>0</v>
          </cell>
        </row>
        <row r="1123">
          <cell r="C1123" t="str">
            <v>ANAIME </v>
          </cell>
          <cell r="E1123">
            <v>0</v>
          </cell>
          <cell r="F1123">
            <v>0</v>
          </cell>
          <cell r="G1123" t="str">
            <v>B</v>
          </cell>
          <cell r="R1123">
            <v>0</v>
          </cell>
        </row>
        <row r="1124">
          <cell r="C1124" t="str">
            <v>BOQUERON</v>
          </cell>
          <cell r="E1124">
            <v>0</v>
          </cell>
          <cell r="F1124">
            <v>0</v>
          </cell>
          <cell r="G1124" t="str">
            <v>B</v>
          </cell>
          <cell r="R1124">
            <v>0</v>
          </cell>
        </row>
        <row r="1125">
          <cell r="C1125" t="str">
            <v>PASACABALLOS</v>
          </cell>
          <cell r="D1125" t="str">
            <v>BOLIVAR</v>
          </cell>
          <cell r="E1125">
            <v>0</v>
          </cell>
          <cell r="F1125">
            <v>0</v>
          </cell>
          <cell r="G1125" t="str">
            <v>B</v>
          </cell>
          <cell r="R1125">
            <v>0</v>
          </cell>
        </row>
        <row r="1126">
          <cell r="C1126" t="str">
            <v>ARAUCA</v>
          </cell>
          <cell r="D1126" t="str">
            <v>CALDAS</v>
          </cell>
          <cell r="E1126">
            <v>0</v>
          </cell>
          <cell r="F1126">
            <v>0</v>
          </cell>
          <cell r="G1126" t="str">
            <v>B</v>
          </cell>
          <cell r="R1126">
            <v>0</v>
          </cell>
          <cell r="X1126">
            <v>1</v>
          </cell>
        </row>
        <row r="1127">
          <cell r="C1127" t="str">
            <v>MARTINICA </v>
          </cell>
          <cell r="E1127">
            <v>0</v>
          </cell>
          <cell r="F1127">
            <v>0</v>
          </cell>
          <cell r="G1127" t="str">
            <v>B</v>
          </cell>
          <cell r="R1127">
            <v>0</v>
          </cell>
        </row>
        <row r="1128">
          <cell r="C1128" t="str">
            <v>CHINAUTA</v>
          </cell>
          <cell r="D1128" t="str">
            <v>CUNDINAMARCA</v>
          </cell>
          <cell r="E1128">
            <v>0</v>
          </cell>
          <cell r="F1128">
            <v>0</v>
          </cell>
          <cell r="G1128" t="str">
            <v>B</v>
          </cell>
          <cell r="R1128">
            <v>0</v>
          </cell>
        </row>
        <row r="1129">
          <cell r="C1129" t="str">
            <v>LA AURORA</v>
          </cell>
          <cell r="E1129">
            <v>0</v>
          </cell>
          <cell r="F1129">
            <v>0</v>
          </cell>
          <cell r="G1129" t="str">
            <v>B</v>
          </cell>
          <cell r="R1129">
            <v>0</v>
          </cell>
        </row>
        <row r="1130">
          <cell r="C1130" t="str">
            <v>BRUSELAS</v>
          </cell>
          <cell r="E1130">
            <v>0</v>
          </cell>
          <cell r="F1130">
            <v>0</v>
          </cell>
          <cell r="G1130" t="str">
            <v>B</v>
          </cell>
          <cell r="R1130">
            <v>0</v>
          </cell>
        </row>
        <row r="1131">
          <cell r="C1131" t="str">
            <v>VELÚ</v>
          </cell>
          <cell r="E1131">
            <v>0</v>
          </cell>
          <cell r="F1131">
            <v>0</v>
          </cell>
          <cell r="G1131" t="str">
            <v>B</v>
          </cell>
          <cell r="R1131">
            <v>0</v>
          </cell>
        </row>
        <row r="1132">
          <cell r="C1132" t="str">
            <v>LOS NEGRITOS</v>
          </cell>
          <cell r="E1132">
            <v>0</v>
          </cell>
          <cell r="F1132">
            <v>0</v>
          </cell>
          <cell r="G1132" t="str">
            <v>B</v>
          </cell>
          <cell r="R1132">
            <v>0</v>
          </cell>
        </row>
        <row r="1133">
          <cell r="C1133" t="str">
            <v>TOTUMO</v>
          </cell>
          <cell r="E1133">
            <v>0</v>
          </cell>
          <cell r="F1133">
            <v>0</v>
          </cell>
          <cell r="G1133" t="str">
            <v>B</v>
          </cell>
          <cell r="R1133">
            <v>0</v>
          </cell>
        </row>
        <row r="1134">
          <cell r="C1134" t="str">
            <v>LA CHAMBA</v>
          </cell>
          <cell r="E1134">
            <v>0</v>
          </cell>
          <cell r="F1134">
            <v>0</v>
          </cell>
          <cell r="G1134" t="str">
            <v>B</v>
          </cell>
          <cell r="R1134">
            <v>0</v>
          </cell>
        </row>
        <row r="1135">
          <cell r="C1135" t="str">
            <v>LA SIERRA</v>
          </cell>
          <cell r="E1135">
            <v>0</v>
          </cell>
          <cell r="F1135">
            <v>0</v>
          </cell>
          <cell r="G1135" t="str">
            <v>B</v>
          </cell>
          <cell r="R1135">
            <v>0</v>
          </cell>
        </row>
        <row r="1136">
          <cell r="C1136" t="str">
            <v>PUEBLO TAPADO</v>
          </cell>
          <cell r="D1136" t="str">
            <v>QUINDIO</v>
          </cell>
          <cell r="E1136">
            <v>0</v>
          </cell>
          <cell r="F1136">
            <v>0</v>
          </cell>
          <cell r="G1136" t="str">
            <v>B</v>
          </cell>
          <cell r="R1136">
            <v>0</v>
          </cell>
          <cell r="X1136">
            <v>1</v>
          </cell>
        </row>
        <row r="1137">
          <cell r="C1137" t="str">
            <v>BARCELONA</v>
          </cell>
          <cell r="D1137" t="str">
            <v>QUINDIO</v>
          </cell>
          <cell r="E1137">
            <v>0</v>
          </cell>
          <cell r="F1137">
            <v>0</v>
          </cell>
          <cell r="G1137" t="str">
            <v>A</v>
          </cell>
          <cell r="R1137">
            <v>0</v>
          </cell>
          <cell r="X1137">
            <v>2</v>
          </cell>
        </row>
        <row r="1138">
          <cell r="C1138" t="str">
            <v>HEREDIA </v>
          </cell>
          <cell r="E1138">
            <v>0</v>
          </cell>
          <cell r="F1138">
            <v>0</v>
          </cell>
          <cell r="G1138" t="str">
            <v>A</v>
          </cell>
          <cell r="R1138">
            <v>0</v>
          </cell>
        </row>
        <row r="1139">
          <cell r="C1139" t="str">
            <v>VEGALARGA</v>
          </cell>
          <cell r="E1139">
            <v>0</v>
          </cell>
          <cell r="F1139">
            <v>0</v>
          </cell>
          <cell r="G1139" t="str">
            <v>A</v>
          </cell>
          <cell r="R1139">
            <v>0</v>
          </cell>
        </row>
        <row r="1140">
          <cell r="C1140" t="str">
            <v>SAN ANDRES TELLO</v>
          </cell>
          <cell r="E1140">
            <v>0</v>
          </cell>
          <cell r="F1140">
            <v>0</v>
          </cell>
          <cell r="G1140" t="str">
            <v>A</v>
          </cell>
          <cell r="R1140">
            <v>0</v>
          </cell>
        </row>
        <row r="1141">
          <cell r="C1141" t="str">
            <v>PUENTE SOGAMOSO</v>
          </cell>
          <cell r="D1141" t="str">
            <v>SANTANDER</v>
          </cell>
          <cell r="E1141">
            <v>0</v>
          </cell>
          <cell r="F1141">
            <v>0</v>
          </cell>
          <cell r="G1141" t="str">
            <v>A</v>
          </cell>
          <cell r="R1141">
            <v>0</v>
          </cell>
        </row>
        <row r="1142">
          <cell r="C1142" t="str">
            <v>AGUACLARA</v>
          </cell>
          <cell r="E1142">
            <v>0</v>
          </cell>
          <cell r="F1142">
            <v>0</v>
          </cell>
          <cell r="G1142" t="str">
            <v>A</v>
          </cell>
          <cell r="R1142">
            <v>0</v>
          </cell>
        </row>
        <row r="1143">
          <cell r="C1143" t="str">
            <v>LA MARINA</v>
          </cell>
          <cell r="E1143">
            <v>0</v>
          </cell>
          <cell r="F1143">
            <v>0</v>
          </cell>
          <cell r="G1143" t="str">
            <v>A</v>
          </cell>
          <cell r="R1143">
            <v>0</v>
          </cell>
        </row>
        <row r="1144">
          <cell r="C1144" t="str">
            <v>ALTO DE POMPEYA</v>
          </cell>
          <cell r="E1144">
            <v>0</v>
          </cell>
          <cell r="F1144">
            <v>0</v>
          </cell>
          <cell r="G1144" t="str">
            <v>A</v>
          </cell>
          <cell r="R1144">
            <v>0</v>
          </cell>
        </row>
        <row r="1145">
          <cell r="C1145" t="str">
            <v>CONVENIO</v>
          </cell>
          <cell r="E1145">
            <v>0</v>
          </cell>
          <cell r="F1145">
            <v>0</v>
          </cell>
          <cell r="G1145" t="str">
            <v>A</v>
          </cell>
          <cell r="R1145">
            <v>0</v>
          </cell>
        </row>
        <row r="1146">
          <cell r="C1146" t="str">
            <v>LOS GARZONES</v>
          </cell>
          <cell r="D1146" t="str">
            <v>CORDOBA</v>
          </cell>
          <cell r="E1146">
            <v>0</v>
          </cell>
          <cell r="F1146">
            <v>0</v>
          </cell>
          <cell r="G1146" t="str">
            <v>A</v>
          </cell>
          <cell r="R1146">
            <v>0</v>
          </cell>
        </row>
        <row r="1147">
          <cell r="C1147" t="str">
            <v>CALAMBEO - AMBALA</v>
          </cell>
          <cell r="E1147">
            <v>0</v>
          </cell>
          <cell r="F1147">
            <v>0</v>
          </cell>
          <cell r="G1147" t="str">
            <v>A</v>
          </cell>
          <cell r="R1147">
            <v>0</v>
          </cell>
        </row>
        <row r="1148">
          <cell r="C1148" t="str">
            <v>EL REMOLINO</v>
          </cell>
          <cell r="E1148">
            <v>0</v>
          </cell>
          <cell r="F1148">
            <v>0</v>
          </cell>
          <cell r="G1148" t="str">
            <v>A</v>
          </cell>
          <cell r="R1148">
            <v>0</v>
          </cell>
        </row>
        <row r="1149">
          <cell r="C1149" t="str">
            <v>BOCACHICA </v>
          </cell>
          <cell r="E1149">
            <v>0</v>
          </cell>
          <cell r="F1149">
            <v>0</v>
          </cell>
          <cell r="G1149" t="str">
            <v>A</v>
          </cell>
          <cell r="R1149">
            <v>0</v>
          </cell>
        </row>
        <row r="1150">
          <cell r="C1150" t="str">
            <v>CASACARA</v>
          </cell>
          <cell r="E1150">
            <v>0</v>
          </cell>
          <cell r="F1150">
            <v>0</v>
          </cell>
          <cell r="G1150" t="str">
            <v>A</v>
          </cell>
          <cell r="R1150">
            <v>0</v>
          </cell>
        </row>
        <row r="1151">
          <cell r="C1151" t="str">
            <v>LA GRAN VIA</v>
          </cell>
          <cell r="D1151" t="str">
            <v>CUNDINAMARCA</v>
          </cell>
          <cell r="E1151">
            <v>0</v>
          </cell>
          <cell r="F1151">
            <v>0</v>
          </cell>
          <cell r="G1151" t="str">
            <v>A</v>
          </cell>
          <cell r="R1151">
            <v>0</v>
          </cell>
        </row>
        <row r="1152">
          <cell r="C1152" t="str">
            <v>FLORENCIA</v>
          </cell>
          <cell r="E1152">
            <v>0</v>
          </cell>
          <cell r="F1152">
            <v>0</v>
          </cell>
          <cell r="G1152" t="str">
            <v>A</v>
          </cell>
          <cell r="R1152">
            <v>0</v>
          </cell>
        </row>
        <row r="1153">
          <cell r="C1153" t="str">
            <v>CASTILLA</v>
          </cell>
          <cell r="E1153">
            <v>0</v>
          </cell>
          <cell r="F1153">
            <v>0</v>
          </cell>
          <cell r="G1153" t="str">
            <v>A</v>
          </cell>
          <cell r="R1153">
            <v>0</v>
          </cell>
        </row>
        <row r="1154">
          <cell r="C1154" t="str">
            <v>SAN ANTONIO DE GETUCHÁ</v>
          </cell>
          <cell r="E1154">
            <v>0</v>
          </cell>
          <cell r="F1154">
            <v>0</v>
          </cell>
          <cell r="G1154" t="str">
            <v>A</v>
          </cell>
          <cell r="R1154">
            <v>0</v>
          </cell>
        </row>
        <row r="1155">
          <cell r="C1155" t="str">
            <v>LA MAGDALENA</v>
          </cell>
          <cell r="E1155">
            <v>0</v>
          </cell>
          <cell r="F1155">
            <v>0</v>
          </cell>
          <cell r="G1155" t="str">
            <v>A</v>
          </cell>
          <cell r="R1155">
            <v>0</v>
          </cell>
        </row>
        <row r="1156">
          <cell r="C1156" t="str">
            <v>PALOMINO </v>
          </cell>
          <cell r="E1156">
            <v>0</v>
          </cell>
          <cell r="F1156">
            <v>0</v>
          </cell>
          <cell r="G1156" t="str">
            <v>A</v>
          </cell>
          <cell r="R1156">
            <v>0</v>
          </cell>
        </row>
        <row r="1157">
          <cell r="C1157" t="str">
            <v>VADO REAL</v>
          </cell>
          <cell r="D1157" t="str">
            <v>SANTANDER</v>
          </cell>
          <cell r="E1157">
            <v>0</v>
          </cell>
          <cell r="F1157">
            <v>0</v>
          </cell>
          <cell r="G1157" t="str">
            <v>A</v>
          </cell>
          <cell r="R1157">
            <v>0</v>
          </cell>
        </row>
        <row r="1158">
          <cell r="C1158" t="str">
            <v>TAPIAS</v>
          </cell>
          <cell r="E1158">
            <v>0</v>
          </cell>
          <cell r="F1158">
            <v>0</v>
          </cell>
          <cell r="G1158" t="str">
            <v>A</v>
          </cell>
          <cell r="R1158">
            <v>0</v>
          </cell>
        </row>
        <row r="1159">
          <cell r="C1159" t="str">
            <v>GUALANDAY</v>
          </cell>
          <cell r="D1159" t="str">
            <v>TOLIMA</v>
          </cell>
          <cell r="E1159">
            <v>0</v>
          </cell>
          <cell r="F1159">
            <v>0</v>
          </cell>
          <cell r="G1159" t="str">
            <v>A</v>
          </cell>
          <cell r="R1159">
            <v>0</v>
          </cell>
        </row>
        <row r="1160">
          <cell r="C1160" t="str">
            <v>FORTALECILLAS</v>
          </cell>
          <cell r="E1160">
            <v>0</v>
          </cell>
          <cell r="F1160">
            <v>0</v>
          </cell>
          <cell r="G1160" t="str">
            <v>A</v>
          </cell>
          <cell r="R1160">
            <v>0</v>
          </cell>
        </row>
        <row r="1161">
          <cell r="C1161" t="str">
            <v>SUBIA</v>
          </cell>
          <cell r="E1161">
            <v>0</v>
          </cell>
          <cell r="F1161">
            <v>0</v>
          </cell>
          <cell r="G1161" t="str">
            <v>A</v>
          </cell>
          <cell r="R1161">
            <v>0</v>
          </cell>
        </row>
        <row r="1162">
          <cell r="C1162" t="str">
            <v>EL TRIUNFO</v>
          </cell>
          <cell r="E1162">
            <v>0</v>
          </cell>
          <cell r="F1162">
            <v>0</v>
          </cell>
          <cell r="G1162" t="str">
            <v>A</v>
          </cell>
          <cell r="R1162">
            <v>0</v>
          </cell>
        </row>
        <row r="1163">
          <cell r="C1163" t="str">
            <v>ATANQUEZ</v>
          </cell>
          <cell r="E1163">
            <v>0</v>
          </cell>
          <cell r="F1163">
            <v>0</v>
          </cell>
          <cell r="G1163" t="str">
            <v>A</v>
          </cell>
          <cell r="R1163">
            <v>0</v>
          </cell>
        </row>
        <row r="1164">
          <cell r="C1164" t="str">
            <v>PACARNI</v>
          </cell>
          <cell r="D1164" t="str">
            <v>HUILA</v>
          </cell>
          <cell r="E1164">
            <v>0</v>
          </cell>
          <cell r="F1164">
            <v>0</v>
          </cell>
          <cell r="G1164" t="str">
            <v>A</v>
          </cell>
          <cell r="R1164">
            <v>0</v>
          </cell>
          <cell r="X1164">
            <v>1</v>
          </cell>
        </row>
        <row r="1165">
          <cell r="C1165" t="str">
            <v>BERLIN</v>
          </cell>
          <cell r="E1165">
            <v>0</v>
          </cell>
          <cell r="F1165">
            <v>0</v>
          </cell>
          <cell r="G1165" t="str">
            <v>A</v>
          </cell>
          <cell r="R1165">
            <v>0</v>
          </cell>
        </row>
        <row r="1166">
          <cell r="C1166" t="str">
            <v>GUACIRCO</v>
          </cell>
          <cell r="E1166">
            <v>0</v>
          </cell>
          <cell r="F1166">
            <v>0</v>
          </cell>
          <cell r="G1166" t="str">
            <v>A</v>
          </cell>
          <cell r="R1166">
            <v>0</v>
          </cell>
        </row>
        <row r="1167">
          <cell r="C1167" t="str">
            <v>LA PAZ</v>
          </cell>
          <cell r="E1167">
            <v>0</v>
          </cell>
          <cell r="F1167">
            <v>0</v>
          </cell>
          <cell r="G1167" t="str">
            <v>A</v>
          </cell>
          <cell r="R1167">
            <v>0</v>
          </cell>
        </row>
        <row r="1168">
          <cell r="C1168" t="str">
            <v>MARIANGOLA</v>
          </cell>
          <cell r="E1168">
            <v>0</v>
          </cell>
          <cell r="F1168">
            <v>0</v>
          </cell>
          <cell r="G1168" t="str">
            <v>A</v>
          </cell>
          <cell r="R1168">
            <v>0</v>
          </cell>
        </row>
        <row r="1169">
          <cell r="C1169" t="str">
            <v>LOMA DE CALENTURA</v>
          </cell>
          <cell r="E1169">
            <v>0</v>
          </cell>
          <cell r="F1169">
            <v>0</v>
          </cell>
          <cell r="G1169" t="str">
            <v>A</v>
          </cell>
          <cell r="R1169">
            <v>0</v>
          </cell>
        </row>
        <row r="1170">
          <cell r="C1170" t="str">
            <v>PAYANDE</v>
          </cell>
          <cell r="E1170">
            <v>0</v>
          </cell>
          <cell r="F1170">
            <v>0</v>
          </cell>
          <cell r="G1170" t="str">
            <v>A</v>
          </cell>
          <cell r="R1170">
            <v>0</v>
          </cell>
        </row>
        <row r="1171">
          <cell r="C1171" t="str">
            <v>HERRERA</v>
          </cell>
          <cell r="D1171" t="str">
            <v>TOLIMA</v>
          </cell>
          <cell r="E1171">
            <v>0</v>
          </cell>
          <cell r="F1171">
            <v>0</v>
          </cell>
          <cell r="G1171" t="str">
            <v>A</v>
          </cell>
          <cell r="R1171">
            <v>0</v>
          </cell>
        </row>
        <row r="1172">
          <cell r="C1172" t="str">
            <v>TUNIA</v>
          </cell>
          <cell r="E1172">
            <v>0</v>
          </cell>
          <cell r="F1172">
            <v>0</v>
          </cell>
          <cell r="G1172" t="str">
            <v>A</v>
          </cell>
          <cell r="R1172">
            <v>0</v>
          </cell>
        </row>
        <row r="1173">
          <cell r="C1173" t="str">
            <v>PLAYARRICA</v>
          </cell>
          <cell r="E1173">
            <v>0</v>
          </cell>
          <cell r="F1173">
            <v>0</v>
          </cell>
          <cell r="G1173" t="str">
            <v>A</v>
          </cell>
          <cell r="R1173">
            <v>0</v>
          </cell>
        </row>
        <row r="1174">
          <cell r="C1174" t="str">
            <v>EL ENCANO</v>
          </cell>
          <cell r="E1174">
            <v>0</v>
          </cell>
          <cell r="F1174">
            <v>0</v>
          </cell>
          <cell r="G1174" t="str">
            <v>A</v>
          </cell>
          <cell r="R1174">
            <v>0</v>
          </cell>
        </row>
        <row r="1175">
          <cell r="C1175" t="str">
            <v>PATIA</v>
          </cell>
          <cell r="E1175">
            <v>0</v>
          </cell>
          <cell r="F1175">
            <v>0</v>
          </cell>
          <cell r="G1175" t="str">
            <v>A</v>
          </cell>
          <cell r="R1175">
            <v>0</v>
          </cell>
        </row>
        <row r="1176">
          <cell r="C1176" t="str">
            <v>CANAGUARO</v>
          </cell>
          <cell r="E1176">
            <v>0</v>
          </cell>
          <cell r="F1176">
            <v>0</v>
          </cell>
          <cell r="G1176" t="str">
            <v>A</v>
          </cell>
          <cell r="R1176">
            <v>0</v>
          </cell>
        </row>
        <row r="1177">
          <cell r="C1177" t="str">
            <v>LA CONCEPCION</v>
          </cell>
          <cell r="E1177">
            <v>0</v>
          </cell>
          <cell r="F1177">
            <v>0</v>
          </cell>
          <cell r="G1177" t="str">
            <v>A</v>
          </cell>
          <cell r="R1177">
            <v>0</v>
          </cell>
        </row>
        <row r="1178">
          <cell r="C1178" t="str">
            <v>PUERTO ARAUJO</v>
          </cell>
          <cell r="D1178" t="str">
            <v>SANTANDER</v>
          </cell>
          <cell r="E1178">
            <v>0</v>
          </cell>
          <cell r="F1178">
            <v>0</v>
          </cell>
          <cell r="G1178" t="str">
            <v>A</v>
          </cell>
          <cell r="R1178">
            <v>0</v>
          </cell>
        </row>
        <row r="1179">
          <cell r="C1179" t="str">
            <v>BAYUNCA </v>
          </cell>
          <cell r="D1179" t="str">
            <v>BOLIVAR</v>
          </cell>
          <cell r="E1179">
            <v>0</v>
          </cell>
          <cell r="F1179">
            <v>0</v>
          </cell>
          <cell r="G1179" t="str">
            <v>A</v>
          </cell>
          <cell r="R1179">
            <v>0</v>
          </cell>
        </row>
        <row r="1180">
          <cell r="C1180" t="str">
            <v>LA TRINIDAD</v>
          </cell>
          <cell r="D1180" t="str">
            <v>BOYACA</v>
          </cell>
          <cell r="E1180">
            <v>0</v>
          </cell>
          <cell r="F1180">
            <v>0</v>
          </cell>
          <cell r="G1180" t="str">
            <v>A</v>
          </cell>
          <cell r="R1180">
            <v>0</v>
          </cell>
        </row>
        <row r="1181">
          <cell r="C1181" t="str">
            <v>SANTANDERSITO</v>
          </cell>
          <cell r="E1181">
            <v>0</v>
          </cell>
          <cell r="F1181">
            <v>0</v>
          </cell>
          <cell r="G1181" t="str">
            <v>A</v>
          </cell>
          <cell r="R1181">
            <v>0</v>
          </cell>
        </row>
        <row r="1182">
          <cell r="C1182" t="str">
            <v>SANTA ELENA</v>
          </cell>
          <cell r="E1182">
            <v>0</v>
          </cell>
          <cell r="F1182">
            <v>0</v>
          </cell>
          <cell r="G1182" t="str">
            <v>A</v>
          </cell>
          <cell r="R1182">
            <v>0</v>
          </cell>
        </row>
        <row r="1183">
          <cell r="C1183" t="str">
            <v>BELEN</v>
          </cell>
          <cell r="E1183">
            <v>0</v>
          </cell>
          <cell r="F1183">
            <v>0</v>
          </cell>
          <cell r="G1183" t="str">
            <v>A</v>
          </cell>
          <cell r="R1183">
            <v>0</v>
          </cell>
        </row>
        <row r="1184">
          <cell r="C1184" t="str">
            <v>MINGUEO</v>
          </cell>
          <cell r="E1184">
            <v>0</v>
          </cell>
          <cell r="F1184">
            <v>0</v>
          </cell>
          <cell r="G1184" t="str">
            <v>A</v>
          </cell>
          <cell r="R1184">
            <v>0</v>
          </cell>
        </row>
        <row r="1185">
          <cell r="C1185" t="str">
            <v>REMOLINO</v>
          </cell>
          <cell r="E1185">
            <v>0</v>
          </cell>
          <cell r="F1185">
            <v>0</v>
          </cell>
          <cell r="G1185" t="str">
            <v>A</v>
          </cell>
          <cell r="R1185">
            <v>0</v>
          </cell>
        </row>
        <row r="1186">
          <cell r="C1186" t="str">
            <v>MALAGANA</v>
          </cell>
          <cell r="D1186" t="str">
            <v>BOLIVAR</v>
          </cell>
          <cell r="E1186">
            <v>0</v>
          </cell>
          <cell r="F1186">
            <v>0</v>
          </cell>
          <cell r="G1186" t="str">
            <v>A</v>
          </cell>
          <cell r="R1186">
            <v>0</v>
          </cell>
        </row>
        <row r="1187">
          <cell r="C1187" t="str">
            <v>ZULUAGA</v>
          </cell>
          <cell r="E1187">
            <v>0</v>
          </cell>
          <cell r="F1187">
            <v>0</v>
          </cell>
          <cell r="G1187" t="str">
            <v>A</v>
          </cell>
          <cell r="R1187">
            <v>0</v>
          </cell>
        </row>
        <row r="1188">
          <cell r="C1188" t="str">
            <v>PESCADOR</v>
          </cell>
          <cell r="E1188">
            <v>0</v>
          </cell>
          <cell r="F1188">
            <v>0</v>
          </cell>
          <cell r="G1188" t="str">
            <v>A</v>
          </cell>
          <cell r="R1188">
            <v>0</v>
          </cell>
        </row>
        <row r="1189">
          <cell r="C1189" t="str">
            <v>BOLIVIA</v>
          </cell>
          <cell r="E1189">
            <v>0</v>
          </cell>
          <cell r="F1189">
            <v>0</v>
          </cell>
          <cell r="G1189" t="str">
            <v>A</v>
          </cell>
          <cell r="R1189">
            <v>0</v>
          </cell>
        </row>
        <row r="1190">
          <cell r="C1190" t="str">
            <v>LA FLORIDA</v>
          </cell>
          <cell r="D1190" t="str">
            <v>CUNDINAMARCA</v>
          </cell>
          <cell r="E1190">
            <v>0</v>
          </cell>
          <cell r="F1190">
            <v>0</v>
          </cell>
          <cell r="G1190" t="str">
            <v>A</v>
          </cell>
          <cell r="R1190">
            <v>0</v>
          </cell>
          <cell r="X1190">
            <v>1</v>
          </cell>
        </row>
        <row r="1191">
          <cell r="C1191" t="str">
            <v>LA TAGUA</v>
          </cell>
          <cell r="E1191">
            <v>0</v>
          </cell>
          <cell r="F1191">
            <v>0</v>
          </cell>
          <cell r="G1191" t="str">
            <v>A</v>
          </cell>
          <cell r="R1191">
            <v>0</v>
          </cell>
        </row>
        <row r="1192">
          <cell r="C1192" t="str">
            <v>PATILLAL</v>
          </cell>
          <cell r="E1192">
            <v>0</v>
          </cell>
          <cell r="F1192">
            <v>0</v>
          </cell>
          <cell r="G1192" t="str">
            <v>A</v>
          </cell>
          <cell r="R1192">
            <v>0</v>
          </cell>
        </row>
        <row r="1193">
          <cell r="C1193" t="str">
            <v>LA CHIQUITA</v>
          </cell>
          <cell r="E1193">
            <v>0</v>
          </cell>
          <cell r="F1193">
            <v>0</v>
          </cell>
          <cell r="G1193" t="str">
            <v>A</v>
          </cell>
          <cell r="R1193">
            <v>0</v>
          </cell>
        </row>
        <row r="1194">
          <cell r="C1194" t="str">
            <v>SAN BERNARDO</v>
          </cell>
          <cell r="E1194">
            <v>0</v>
          </cell>
          <cell r="F1194">
            <v>0</v>
          </cell>
          <cell r="G1194" t="str">
            <v>A</v>
          </cell>
          <cell r="R1194">
            <v>0</v>
          </cell>
        </row>
        <row r="1195">
          <cell r="C1195" t="str">
            <v>OBONUCO</v>
          </cell>
          <cell r="E1195">
            <v>0</v>
          </cell>
          <cell r="F1195">
            <v>0</v>
          </cell>
          <cell r="G1195" t="str">
            <v>A</v>
          </cell>
          <cell r="R1195">
            <v>0</v>
          </cell>
        </row>
        <row r="1196">
          <cell r="C1196" t="str">
            <v>AGUAS BLANCAS</v>
          </cell>
          <cell r="E1196">
            <v>0</v>
          </cell>
          <cell r="F1196">
            <v>0</v>
          </cell>
          <cell r="G1196" t="str">
            <v>A</v>
          </cell>
          <cell r="R1196">
            <v>0</v>
          </cell>
        </row>
        <row r="1197">
          <cell r="C1197" t="str">
            <v>CITE</v>
          </cell>
          <cell r="E1197">
            <v>0</v>
          </cell>
          <cell r="F1197">
            <v>0</v>
          </cell>
          <cell r="G1197" t="str">
            <v>A</v>
          </cell>
          <cell r="R1197">
            <v>0</v>
          </cell>
        </row>
        <row r="1198">
          <cell r="C1198" t="str">
            <v>SANTA ANA</v>
          </cell>
          <cell r="E1198">
            <v>0</v>
          </cell>
          <cell r="F1198">
            <v>0</v>
          </cell>
          <cell r="G1198" t="str">
            <v>A</v>
          </cell>
          <cell r="R1198">
            <v>0</v>
          </cell>
        </row>
        <row r="1199">
          <cell r="C1199" t="str">
            <v>GALLEGO</v>
          </cell>
          <cell r="E1199">
            <v>0</v>
          </cell>
          <cell r="F1199">
            <v>0</v>
          </cell>
          <cell r="G1199" t="str">
            <v>A</v>
          </cell>
          <cell r="R1199">
            <v>0</v>
          </cell>
        </row>
        <row r="1200">
          <cell r="C1200" t="str">
            <v>SAN DIEGO</v>
          </cell>
          <cell r="E1200">
            <v>0</v>
          </cell>
          <cell r="F1200">
            <v>0</v>
          </cell>
          <cell r="G1200" t="str">
            <v>A</v>
          </cell>
          <cell r="R1200">
            <v>0</v>
          </cell>
        </row>
        <row r="1201">
          <cell r="C1201" t="str">
            <v>BONAFONT</v>
          </cell>
          <cell r="E1201">
            <v>0</v>
          </cell>
          <cell r="F1201">
            <v>0</v>
          </cell>
          <cell r="G1201" t="str">
            <v>A</v>
          </cell>
          <cell r="R1201">
            <v>0</v>
          </cell>
        </row>
        <row r="1202">
          <cell r="C1202" t="str">
            <v>URE</v>
          </cell>
          <cell r="E1202">
            <v>0</v>
          </cell>
          <cell r="F1202">
            <v>0</v>
          </cell>
          <cell r="G1202" t="str">
            <v>A</v>
          </cell>
          <cell r="R1202">
            <v>0</v>
          </cell>
        </row>
        <row r="1203">
          <cell r="C1203" t="str">
            <v>BOCA DE PEPE</v>
          </cell>
          <cell r="E1203">
            <v>0</v>
          </cell>
          <cell r="F1203">
            <v>0</v>
          </cell>
          <cell r="G1203" t="str">
            <v>A</v>
          </cell>
          <cell r="R1203">
            <v>0</v>
          </cell>
        </row>
        <row r="1204">
          <cell r="C1204" t="str">
            <v>ARMA</v>
          </cell>
          <cell r="E1204">
            <v>0</v>
          </cell>
          <cell r="F1204">
            <v>0</v>
          </cell>
          <cell r="G1204" t="str">
            <v>A</v>
          </cell>
          <cell r="R1204">
            <v>0</v>
          </cell>
        </row>
        <row r="1205">
          <cell r="C1205" t="str">
            <v>LA AGUADITA</v>
          </cell>
          <cell r="E1205">
            <v>0</v>
          </cell>
          <cell r="F1205">
            <v>0</v>
          </cell>
          <cell r="G1205" t="str">
            <v>A</v>
          </cell>
          <cell r="R1205">
            <v>0</v>
          </cell>
        </row>
        <row r="1206">
          <cell r="C1206" t="str">
            <v>BARRANCOMINAS</v>
          </cell>
          <cell r="D1206" t="str">
            <v>GUAINIA</v>
          </cell>
          <cell r="E1206">
            <v>0</v>
          </cell>
          <cell r="F1206">
            <v>0</v>
          </cell>
          <cell r="G1206" t="str">
            <v>A</v>
          </cell>
          <cell r="R1206">
            <v>0</v>
          </cell>
        </row>
        <row r="1207">
          <cell r="C1207" t="str">
            <v>CAMARONES </v>
          </cell>
          <cell r="E1207">
            <v>0</v>
          </cell>
          <cell r="F1207">
            <v>0</v>
          </cell>
          <cell r="G1207" t="str">
            <v>A</v>
          </cell>
          <cell r="R1207">
            <v>0</v>
          </cell>
        </row>
        <row r="1208">
          <cell r="C1208" t="str">
            <v>PRADILLA</v>
          </cell>
          <cell r="E1208">
            <v>0</v>
          </cell>
          <cell r="F1208">
            <v>0</v>
          </cell>
          <cell r="G1208" t="str">
            <v>A</v>
          </cell>
          <cell r="R1208">
            <v>0</v>
          </cell>
        </row>
        <row r="1209">
          <cell r="C1209" t="str">
            <v>PALMARITO</v>
          </cell>
          <cell r="E1209">
            <v>0</v>
          </cell>
          <cell r="F1209">
            <v>0</v>
          </cell>
          <cell r="G1209" t="str">
            <v>A</v>
          </cell>
          <cell r="R1209">
            <v>0</v>
          </cell>
        </row>
        <row r="1210">
          <cell r="C1210" t="str">
            <v>SAN JAVIER</v>
          </cell>
          <cell r="E1210">
            <v>0</v>
          </cell>
          <cell r="F1210">
            <v>0</v>
          </cell>
          <cell r="G1210" t="str">
            <v>A</v>
          </cell>
          <cell r="R1210">
            <v>0</v>
          </cell>
        </row>
        <row r="1211">
          <cell r="C1211" t="str">
            <v>SAN JOSE DE SUAITA</v>
          </cell>
          <cell r="E1211">
            <v>0</v>
          </cell>
          <cell r="F1211">
            <v>0</v>
          </cell>
          <cell r="G1211" t="str">
            <v>A</v>
          </cell>
          <cell r="R1211">
            <v>0</v>
          </cell>
        </row>
        <row r="1212">
          <cell r="C1212" t="str">
            <v>CURRULAO</v>
          </cell>
          <cell r="E1212">
            <v>0</v>
          </cell>
          <cell r="F1212">
            <v>0</v>
          </cell>
          <cell r="G1212" t="str">
            <v>A</v>
          </cell>
          <cell r="R1212">
            <v>0</v>
          </cell>
        </row>
        <row r="1213">
          <cell r="C1213" t="str">
            <v>LA ESPERANZA</v>
          </cell>
          <cell r="E1213">
            <v>0</v>
          </cell>
          <cell r="F1213">
            <v>0</v>
          </cell>
          <cell r="G1213" t="str">
            <v>A</v>
          </cell>
          <cell r="R1213">
            <v>0</v>
          </cell>
        </row>
        <row r="1214">
          <cell r="C1214" t="str">
            <v>SAN JOAQUIN</v>
          </cell>
          <cell r="E1214">
            <v>0</v>
          </cell>
          <cell r="F1214">
            <v>0</v>
          </cell>
          <cell r="G1214" t="str">
            <v>A</v>
          </cell>
          <cell r="R1214">
            <v>0</v>
          </cell>
        </row>
        <row r="1215">
          <cell r="C1215" t="str">
            <v>SAN JUAN DE LA CHINA</v>
          </cell>
          <cell r="E1215">
            <v>0</v>
          </cell>
          <cell r="F1215">
            <v>0</v>
          </cell>
          <cell r="G1215" t="str">
            <v>A</v>
          </cell>
          <cell r="R1215">
            <v>0</v>
          </cell>
        </row>
        <row r="1216">
          <cell r="C1216" t="str">
            <v>AYACUCHO</v>
          </cell>
          <cell r="E1216">
            <v>0</v>
          </cell>
          <cell r="F1216">
            <v>0</v>
          </cell>
          <cell r="G1216" t="str">
            <v>A</v>
          </cell>
          <cell r="R1216">
            <v>0</v>
          </cell>
        </row>
        <row r="1217">
          <cell r="C1217" t="str">
            <v>PACHAQUIARO</v>
          </cell>
          <cell r="E1217">
            <v>0</v>
          </cell>
          <cell r="F1217">
            <v>0</v>
          </cell>
          <cell r="G1217" t="str">
            <v>A</v>
          </cell>
          <cell r="R1217">
            <v>0</v>
          </cell>
        </row>
        <row r="1218">
          <cell r="C1218" t="str">
            <v>CAMPECHE</v>
          </cell>
          <cell r="D1218" t="str">
            <v>ATLANTICO</v>
          </cell>
          <cell r="E1218">
            <v>0</v>
          </cell>
          <cell r="F1218">
            <v>0</v>
          </cell>
          <cell r="G1218" t="str">
            <v>A</v>
          </cell>
          <cell r="R1218">
            <v>0</v>
          </cell>
        </row>
        <row r="1219">
          <cell r="C1219" t="str">
            <v>TIMBA</v>
          </cell>
          <cell r="E1219">
            <v>0</v>
          </cell>
          <cell r="F1219">
            <v>0</v>
          </cell>
          <cell r="G1219" t="str">
            <v>A</v>
          </cell>
          <cell r="R1219">
            <v>0</v>
          </cell>
        </row>
        <row r="1220">
          <cell r="C1220" t="str">
            <v>OLIVAL</v>
          </cell>
          <cell r="E1220">
            <v>0</v>
          </cell>
          <cell r="F1220">
            <v>0</v>
          </cell>
          <cell r="G1220" t="str">
            <v>A</v>
          </cell>
          <cell r="R1220">
            <v>0</v>
          </cell>
        </row>
        <row r="1221">
          <cell r="C1221" t="str">
            <v>YARIMA</v>
          </cell>
          <cell r="E1221">
            <v>0</v>
          </cell>
          <cell r="F1221">
            <v>0</v>
          </cell>
          <cell r="G1221" t="str">
            <v>A</v>
          </cell>
          <cell r="R1221">
            <v>0</v>
          </cell>
        </row>
        <row r="1222">
          <cell r="C1222" t="str">
            <v>ALTO JORDAN</v>
          </cell>
          <cell r="E1222">
            <v>0</v>
          </cell>
          <cell r="F1222">
            <v>0</v>
          </cell>
          <cell r="G1222" t="str">
            <v>A</v>
          </cell>
          <cell r="R1222">
            <v>0</v>
          </cell>
        </row>
        <row r="1223">
          <cell r="C1223" t="str">
            <v>CINCELADA</v>
          </cell>
          <cell r="E1223">
            <v>0</v>
          </cell>
          <cell r="F1223">
            <v>0</v>
          </cell>
          <cell r="G1223" t="str">
            <v>A</v>
          </cell>
          <cell r="R1223">
            <v>0</v>
          </cell>
        </row>
        <row r="1224">
          <cell r="C1224" t="str">
            <v>RINCON HONDO</v>
          </cell>
          <cell r="E1224">
            <v>0</v>
          </cell>
          <cell r="F1224">
            <v>0</v>
          </cell>
          <cell r="G1224" t="str">
            <v>A</v>
          </cell>
          <cell r="R1224">
            <v>0</v>
          </cell>
        </row>
        <row r="1225">
          <cell r="C1225" t="str">
            <v>SAN JUAN DEL SUMAPAZ</v>
          </cell>
          <cell r="E1225">
            <v>0</v>
          </cell>
          <cell r="F1225">
            <v>0</v>
          </cell>
          <cell r="G1225" t="str">
            <v>A</v>
          </cell>
          <cell r="R1225">
            <v>0</v>
          </cell>
        </row>
        <row r="1226">
          <cell r="C1226" t="str">
            <v>SALONICA</v>
          </cell>
          <cell r="E1226">
            <v>0</v>
          </cell>
          <cell r="F1226">
            <v>0</v>
          </cell>
          <cell r="G1226" t="str">
            <v>A</v>
          </cell>
          <cell r="R1226">
            <v>0</v>
          </cell>
        </row>
        <row r="1227">
          <cell r="C1227" t="str">
            <v>LA DONJUANA</v>
          </cell>
          <cell r="E1227">
            <v>0</v>
          </cell>
          <cell r="F1227">
            <v>0</v>
          </cell>
          <cell r="G1227" t="str">
            <v>A</v>
          </cell>
          <cell r="R1227">
            <v>0</v>
          </cell>
        </row>
        <row r="1228">
          <cell r="C1228" t="str">
            <v>SAN LUIS</v>
          </cell>
          <cell r="E1228">
            <v>0</v>
          </cell>
          <cell r="F1228">
            <v>0</v>
          </cell>
          <cell r="G1228" t="str">
            <v>A</v>
          </cell>
          <cell r="R1228">
            <v>0</v>
          </cell>
        </row>
        <row r="1229">
          <cell r="C1229" t="str">
            <v>SAN RAFAEL</v>
          </cell>
          <cell r="E1229">
            <v>0</v>
          </cell>
          <cell r="F1229">
            <v>0</v>
          </cell>
          <cell r="G1229" t="str">
            <v>A</v>
          </cell>
          <cell r="R1229">
            <v>0</v>
          </cell>
        </row>
        <row r="1230">
          <cell r="C1230" t="str">
            <v>SAN FELIX</v>
          </cell>
          <cell r="E1230">
            <v>0</v>
          </cell>
          <cell r="F1230">
            <v>0</v>
          </cell>
          <cell r="G1230" t="str">
            <v>A</v>
          </cell>
          <cell r="R1230">
            <v>0</v>
          </cell>
        </row>
        <row r="1231">
          <cell r="C1231" t="str">
            <v>ARROYO DE PIEDRA</v>
          </cell>
          <cell r="E1231">
            <v>0</v>
          </cell>
          <cell r="F1231">
            <v>0</v>
          </cell>
          <cell r="G1231" t="str">
            <v>A</v>
          </cell>
          <cell r="R1231">
            <v>0</v>
          </cell>
        </row>
        <row r="1232">
          <cell r="C1232" t="str">
            <v>TARAPACA</v>
          </cell>
          <cell r="D1232" t="str">
            <v>AMAZONAS</v>
          </cell>
          <cell r="E1232">
            <v>0</v>
          </cell>
          <cell r="F1232">
            <v>0</v>
          </cell>
          <cell r="G1232" t="str">
            <v>A</v>
          </cell>
          <cell r="R1232">
            <v>0</v>
          </cell>
        </row>
        <row r="1233">
          <cell r="C1233" t="str">
            <v>SANTA BARBARA</v>
          </cell>
          <cell r="E1233">
            <v>0</v>
          </cell>
          <cell r="F1233">
            <v>0</v>
          </cell>
          <cell r="G1233" t="str">
            <v>A</v>
          </cell>
          <cell r="R1233">
            <v>0</v>
          </cell>
        </row>
        <row r="1234">
          <cell r="C1234" t="str">
            <v>CASUARITO</v>
          </cell>
          <cell r="E1234">
            <v>0</v>
          </cell>
          <cell r="F1234">
            <v>0</v>
          </cell>
          <cell r="G1234" t="str">
            <v>A</v>
          </cell>
          <cell r="R1234">
            <v>0</v>
          </cell>
        </row>
        <row r="1235">
          <cell r="C1235" t="str">
            <v>GAITANIA</v>
          </cell>
          <cell r="D1235" t="str">
            <v>TOLIMA</v>
          </cell>
          <cell r="E1235">
            <v>0</v>
          </cell>
          <cell r="F1235">
            <v>0</v>
          </cell>
          <cell r="G1235" t="str">
            <v>A</v>
          </cell>
          <cell r="R1235">
            <v>0</v>
          </cell>
        </row>
        <row r="1236">
          <cell r="C1236" t="str">
            <v>LA PEDRERA</v>
          </cell>
          <cell r="D1236" t="str">
            <v>AMAZONAS</v>
          </cell>
          <cell r="E1236">
            <v>0</v>
          </cell>
          <cell r="F1236">
            <v>0</v>
          </cell>
          <cell r="G1236" t="str">
            <v>A</v>
          </cell>
          <cell r="R1236">
            <v>0</v>
          </cell>
        </row>
        <row r="1237">
          <cell r="C1237" t="str">
            <v>ROBLES</v>
          </cell>
          <cell r="E1237">
            <v>0</v>
          </cell>
          <cell r="F1237">
            <v>0</v>
          </cell>
          <cell r="G1237" t="str">
            <v>A</v>
          </cell>
          <cell r="R1237">
            <v>0</v>
          </cell>
        </row>
        <row r="1238">
          <cell r="C1238" t="str">
            <v>TOBIA</v>
          </cell>
          <cell r="E1238">
            <v>0</v>
          </cell>
          <cell r="F1238">
            <v>0</v>
          </cell>
          <cell r="G1238" t="str">
            <v>A</v>
          </cell>
          <cell r="R1238">
            <v>0</v>
          </cell>
        </row>
        <row r="1239">
          <cell r="C1239" t="str">
            <v>LA CHORRERA</v>
          </cell>
          <cell r="D1239" t="str">
            <v>AMAZONAS</v>
          </cell>
          <cell r="E1239">
            <v>0</v>
          </cell>
          <cell r="F1239">
            <v>0</v>
          </cell>
          <cell r="G1239" t="str">
            <v>A</v>
          </cell>
          <cell r="R1239">
            <v>0</v>
          </cell>
        </row>
        <row r="1240">
          <cell r="C1240" t="str">
            <v>PUERTO SANTANDER </v>
          </cell>
          <cell r="D1240" t="str">
            <v>AMAZONAS</v>
          </cell>
          <cell r="E1240">
            <v>0</v>
          </cell>
          <cell r="F1240">
            <v>0</v>
          </cell>
          <cell r="G1240" t="str">
            <v>A</v>
          </cell>
          <cell r="R1240">
            <v>0</v>
          </cell>
        </row>
        <row r="1241">
          <cell r="C1241" t="str">
            <v>LA INDIA</v>
          </cell>
          <cell r="E1241">
            <v>0</v>
          </cell>
          <cell r="F1241">
            <v>0</v>
          </cell>
          <cell r="G1241" t="str">
            <v>A</v>
          </cell>
          <cell r="R1241">
            <v>0</v>
          </cell>
        </row>
        <row r="1242">
          <cell r="C1242" t="str">
            <v>GAMBOTE</v>
          </cell>
          <cell r="D1242" t="str">
            <v>BOLIVAR</v>
          </cell>
          <cell r="E1242">
            <v>0</v>
          </cell>
          <cell r="F1242">
            <v>0</v>
          </cell>
          <cell r="G1242" t="str">
            <v>A</v>
          </cell>
          <cell r="R1242">
            <v>0</v>
          </cell>
        </row>
        <row r="1243">
          <cell r="C1243" t="str">
            <v>CUMACA</v>
          </cell>
          <cell r="E1243">
            <v>0</v>
          </cell>
          <cell r="F1243">
            <v>0</v>
          </cell>
          <cell r="G1243" t="str">
            <v>A</v>
          </cell>
          <cell r="R1243">
            <v>0</v>
          </cell>
        </row>
        <row r="1244">
          <cell r="C1244" t="str">
            <v>EL OCASO</v>
          </cell>
          <cell r="E1244">
            <v>0</v>
          </cell>
          <cell r="F1244">
            <v>0</v>
          </cell>
          <cell r="G1244" t="str">
            <v>A</v>
          </cell>
          <cell r="R1244">
            <v>0</v>
          </cell>
        </row>
        <row r="1245">
          <cell r="C1245" t="str">
            <v>LA HABANA</v>
          </cell>
          <cell r="E1245">
            <v>0</v>
          </cell>
          <cell r="F1245">
            <v>0</v>
          </cell>
          <cell r="G1245" t="str">
            <v>A</v>
          </cell>
          <cell r="R1245">
            <v>0</v>
          </cell>
        </row>
        <row r="1246">
          <cell r="C1246" t="str">
            <v>VIJAGUAL</v>
          </cell>
          <cell r="E1246">
            <v>0</v>
          </cell>
          <cell r="F1246">
            <v>0</v>
          </cell>
          <cell r="G1246" t="str">
            <v>A</v>
          </cell>
          <cell r="R1246">
            <v>0</v>
          </cell>
        </row>
        <row r="1247">
          <cell r="C1247" t="str">
            <v>EL LIMON </v>
          </cell>
          <cell r="E1247">
            <v>0</v>
          </cell>
          <cell r="F1247">
            <v>0</v>
          </cell>
          <cell r="G1247" t="str">
            <v>A</v>
          </cell>
          <cell r="R1247">
            <v>0</v>
          </cell>
        </row>
        <row r="1248">
          <cell r="C1248" t="str">
            <v>GIBRALTAR</v>
          </cell>
          <cell r="E1248">
            <v>0</v>
          </cell>
          <cell r="F1248">
            <v>0</v>
          </cell>
          <cell r="G1248" t="str">
            <v>A</v>
          </cell>
          <cell r="R1248">
            <v>0</v>
          </cell>
        </row>
        <row r="1249">
          <cell r="C1249" t="str">
            <v>EL CARBON</v>
          </cell>
          <cell r="E1249">
            <v>0</v>
          </cell>
          <cell r="F1249">
            <v>0</v>
          </cell>
          <cell r="G1249" t="str">
            <v>A</v>
          </cell>
          <cell r="R1249">
            <v>0</v>
          </cell>
        </row>
        <row r="1250">
          <cell r="C1250" t="str">
            <v>LAS MERCEDES</v>
          </cell>
          <cell r="E1250">
            <v>0</v>
          </cell>
          <cell r="F1250">
            <v>0</v>
          </cell>
          <cell r="G1250" t="str">
            <v>A</v>
          </cell>
          <cell r="R1250">
            <v>0</v>
          </cell>
        </row>
        <row r="1251">
          <cell r="C1251" t="str">
            <v>LA LAGUNA</v>
          </cell>
          <cell r="E1251">
            <v>0</v>
          </cell>
          <cell r="F1251">
            <v>0</v>
          </cell>
          <cell r="G1251" t="str">
            <v>A</v>
          </cell>
          <cell r="R1251">
            <v>0</v>
          </cell>
        </row>
        <row r="1252">
          <cell r="C1252" t="str">
            <v>VILLA PAZ</v>
          </cell>
          <cell r="E1252">
            <v>0</v>
          </cell>
          <cell r="F1252">
            <v>0</v>
          </cell>
          <cell r="G1252" t="str">
            <v>A</v>
          </cell>
          <cell r="R1252">
            <v>0</v>
          </cell>
        </row>
        <row r="1253">
          <cell r="C1253" t="str">
            <v>PANTANO DE VARGAS</v>
          </cell>
          <cell r="E1253">
            <v>0</v>
          </cell>
          <cell r="F1253">
            <v>0</v>
          </cell>
          <cell r="G1253" t="str">
            <v>A</v>
          </cell>
          <cell r="R1253">
            <v>0</v>
          </cell>
        </row>
        <row r="1254">
          <cell r="C1254" t="str">
            <v>USME RURAL</v>
          </cell>
          <cell r="E1254">
            <v>0</v>
          </cell>
          <cell r="F1254">
            <v>0</v>
          </cell>
          <cell r="G1254" t="str">
            <v>A</v>
          </cell>
          <cell r="R1254">
            <v>0</v>
          </cell>
        </row>
        <row r="1255">
          <cell r="C1255" t="str">
            <v>LA VICTORIA</v>
          </cell>
          <cell r="D1255" t="str">
            <v>CUNDINAMARCA</v>
          </cell>
          <cell r="E1255">
            <v>0</v>
          </cell>
          <cell r="F1255">
            <v>0</v>
          </cell>
          <cell r="G1255" t="str">
            <v>A</v>
          </cell>
          <cell r="R1255">
            <v>0</v>
          </cell>
          <cell r="X1255">
            <v>1</v>
          </cell>
        </row>
        <row r="1256">
          <cell r="C1256" t="str">
            <v>MAMBITA SAN PEDRO DE JAGUA</v>
          </cell>
          <cell r="E1256">
            <v>0</v>
          </cell>
          <cell r="F1256">
            <v>0</v>
          </cell>
          <cell r="G1256" t="str">
            <v>A</v>
          </cell>
          <cell r="R1256">
            <v>0</v>
          </cell>
        </row>
        <row r="1257">
          <cell r="C1257" t="str">
            <v>TALAUTA</v>
          </cell>
          <cell r="E1257">
            <v>0</v>
          </cell>
          <cell r="F1257">
            <v>0</v>
          </cell>
          <cell r="G1257" t="str">
            <v>A</v>
          </cell>
          <cell r="R1257">
            <v>0</v>
          </cell>
        </row>
        <row r="1258">
          <cell r="C1258" t="str">
            <v>YUCAL </v>
          </cell>
          <cell r="E1258">
            <v>0</v>
          </cell>
          <cell r="F1258">
            <v>0</v>
          </cell>
          <cell r="G1258" t="str">
            <v>A</v>
          </cell>
          <cell r="R1258">
            <v>0</v>
          </cell>
        </row>
        <row r="1259">
          <cell r="C1259" t="str">
            <v>LA YE</v>
          </cell>
          <cell r="E1259">
            <v>0</v>
          </cell>
          <cell r="F1259">
            <v>0</v>
          </cell>
          <cell r="G1259" t="str">
            <v>A</v>
          </cell>
          <cell r="R1259">
            <v>0</v>
          </cell>
        </row>
        <row r="1260">
          <cell r="C1260" t="str">
            <v>LA VICTORIA</v>
          </cell>
          <cell r="E1260">
            <v>0</v>
          </cell>
          <cell r="F1260">
            <v>0</v>
          </cell>
          <cell r="G1260" t="str">
            <v>A</v>
          </cell>
          <cell r="R1260">
            <v>0</v>
          </cell>
        </row>
        <row r="1261">
          <cell r="C1261" t="str">
            <v>PASUNCHA</v>
          </cell>
          <cell r="E1261">
            <v>0</v>
          </cell>
          <cell r="F1261">
            <v>0</v>
          </cell>
          <cell r="G1261" t="str">
            <v>A</v>
          </cell>
          <cell r="R1261">
            <v>0</v>
          </cell>
        </row>
        <row r="1262">
          <cell r="C1262" t="str">
            <v>CAPURGANA</v>
          </cell>
          <cell r="E1262">
            <v>0</v>
          </cell>
          <cell r="F1262">
            <v>0</v>
          </cell>
          <cell r="G1262" t="str">
            <v>A</v>
          </cell>
          <cell r="R1262">
            <v>0</v>
          </cell>
        </row>
        <row r="1263">
          <cell r="C1263" t="str">
            <v>LA CORCOVA</v>
          </cell>
          <cell r="E1263">
            <v>0</v>
          </cell>
          <cell r="F1263">
            <v>0</v>
          </cell>
          <cell r="G1263" t="str">
            <v>A</v>
          </cell>
          <cell r="R1263">
            <v>0</v>
          </cell>
        </row>
        <row r="1264">
          <cell r="C1264" t="str">
            <v>PURACE</v>
          </cell>
          <cell r="E1264">
            <v>0</v>
          </cell>
          <cell r="F1264">
            <v>0</v>
          </cell>
          <cell r="G1264" t="str">
            <v>A</v>
          </cell>
          <cell r="R1264">
            <v>0</v>
          </cell>
        </row>
        <row r="1265">
          <cell r="C1265" t="str">
            <v>TUDELA</v>
          </cell>
          <cell r="E1265">
            <v>0</v>
          </cell>
          <cell r="F1265">
            <v>0</v>
          </cell>
          <cell r="G1265" t="str">
            <v>A</v>
          </cell>
          <cell r="R1265">
            <v>0</v>
          </cell>
        </row>
        <row r="1266">
          <cell r="C1266" t="str">
            <v>PANGOTE</v>
          </cell>
          <cell r="E1266">
            <v>0</v>
          </cell>
          <cell r="F1266">
            <v>0</v>
          </cell>
          <cell r="G1266" t="str">
            <v>A</v>
          </cell>
          <cell r="R1266">
            <v>0</v>
          </cell>
        </row>
        <row r="1267">
          <cell r="C1267" t="str">
            <v>ISABEL LOPEZ </v>
          </cell>
          <cell r="E1267">
            <v>0</v>
          </cell>
          <cell r="F1267">
            <v>0</v>
          </cell>
          <cell r="G1267" t="str">
            <v>A</v>
          </cell>
          <cell r="R1267">
            <v>0</v>
          </cell>
        </row>
        <row r="1268">
          <cell r="C1268" t="str">
            <v>SAMORE</v>
          </cell>
          <cell r="E1268">
            <v>0</v>
          </cell>
          <cell r="F1268">
            <v>0</v>
          </cell>
          <cell r="G1268" t="str">
            <v>A</v>
          </cell>
          <cell r="R1268">
            <v>0</v>
          </cell>
        </row>
        <row r="1269">
          <cell r="C1269" t="str">
            <v>DORADAL</v>
          </cell>
          <cell r="E1269">
            <v>0</v>
          </cell>
          <cell r="F1269">
            <v>0</v>
          </cell>
          <cell r="G1269" t="str">
            <v>A</v>
          </cell>
          <cell r="R1269">
            <v>0</v>
          </cell>
        </row>
        <row r="1270">
          <cell r="C1270" t="str">
            <v>NORCACIA</v>
          </cell>
          <cell r="E1270">
            <v>0</v>
          </cell>
          <cell r="F1270">
            <v>0</v>
          </cell>
          <cell r="G1270" t="str">
            <v>A</v>
          </cell>
          <cell r="R1270">
            <v>0</v>
          </cell>
        </row>
        <row r="1271">
          <cell r="C1271" t="str">
            <v>SANTIAGO PEREZ</v>
          </cell>
          <cell r="D1271" t="str">
            <v>TOLIMA</v>
          </cell>
          <cell r="E1271">
            <v>0</v>
          </cell>
          <cell r="F1271">
            <v>0</v>
          </cell>
          <cell r="G1271" t="str">
            <v>A</v>
          </cell>
          <cell r="R1271">
            <v>0</v>
          </cell>
        </row>
        <row r="1272">
          <cell r="C1272" t="str">
            <v>SIMAÑA</v>
          </cell>
          <cell r="E1272">
            <v>0</v>
          </cell>
          <cell r="F1272">
            <v>0</v>
          </cell>
          <cell r="G1272" t="str">
            <v>A</v>
          </cell>
          <cell r="R1272">
            <v>0</v>
          </cell>
        </row>
        <row r="1273">
          <cell r="C1273" t="str">
            <v>MONFORTH</v>
          </cell>
          <cell r="E1273">
            <v>0</v>
          </cell>
          <cell r="F1273">
            <v>0</v>
          </cell>
          <cell r="G1273" t="str">
            <v>A</v>
          </cell>
          <cell r="R1273">
            <v>0</v>
          </cell>
        </row>
        <row r="1274">
          <cell r="C1274" t="str">
            <v>GUADUERO</v>
          </cell>
          <cell r="E1274">
            <v>0</v>
          </cell>
          <cell r="F1274">
            <v>0</v>
          </cell>
          <cell r="G1274" t="str">
            <v>A</v>
          </cell>
          <cell r="R1274">
            <v>0</v>
          </cell>
        </row>
        <row r="1275">
          <cell r="C1275" t="str">
            <v>PALERMO</v>
          </cell>
          <cell r="E1275">
            <v>0</v>
          </cell>
          <cell r="F1275">
            <v>0</v>
          </cell>
          <cell r="G1275" t="str">
            <v>A</v>
          </cell>
          <cell r="R1275">
            <v>0</v>
          </cell>
        </row>
        <row r="1276">
          <cell r="C1276" t="str">
            <v>REVENTONES</v>
          </cell>
          <cell r="E1276">
            <v>0</v>
          </cell>
          <cell r="F1276">
            <v>0</v>
          </cell>
          <cell r="G1276" t="str">
            <v>A</v>
          </cell>
          <cell r="R1276">
            <v>0</v>
          </cell>
        </row>
        <row r="1277">
          <cell r="C1277" t="str">
            <v>LA FUENTE</v>
          </cell>
          <cell r="E1277">
            <v>0</v>
          </cell>
          <cell r="F1277">
            <v>0</v>
          </cell>
          <cell r="G1277" t="str">
            <v>A</v>
          </cell>
          <cell r="R1277">
            <v>0</v>
          </cell>
        </row>
        <row r="1278">
          <cell r="C1278" t="str">
            <v>MAYA</v>
          </cell>
          <cell r="E1278">
            <v>0</v>
          </cell>
          <cell r="F1278">
            <v>0</v>
          </cell>
          <cell r="G1278" t="str">
            <v>A</v>
          </cell>
          <cell r="R1278">
            <v>0</v>
          </cell>
        </row>
        <row r="1279">
          <cell r="C1279" t="str">
            <v>CAMBAO</v>
          </cell>
          <cell r="E1279">
            <v>0</v>
          </cell>
          <cell r="F1279">
            <v>0</v>
          </cell>
          <cell r="G1279" t="str">
            <v>A</v>
          </cell>
          <cell r="R1279">
            <v>0</v>
          </cell>
        </row>
        <row r="1280">
          <cell r="C1280" t="str">
            <v>LLANOS DE CUIBA</v>
          </cell>
          <cell r="E1280">
            <v>0</v>
          </cell>
          <cell r="F1280">
            <v>0</v>
          </cell>
          <cell r="G1280" t="str">
            <v>A</v>
          </cell>
          <cell r="R1280">
            <v>0</v>
          </cell>
        </row>
        <row r="1281">
          <cell r="C1281" t="str">
            <v>SAN CAYETANO</v>
          </cell>
          <cell r="E1281">
            <v>0</v>
          </cell>
          <cell r="F1281">
            <v>0</v>
          </cell>
          <cell r="G1281" t="str">
            <v>A</v>
          </cell>
          <cell r="R1281">
            <v>0</v>
          </cell>
        </row>
        <row r="1282">
          <cell r="C1282" t="str">
            <v>CUATROCAMINOS</v>
          </cell>
          <cell r="E1282">
            <v>0</v>
          </cell>
          <cell r="F1282">
            <v>0</v>
          </cell>
          <cell r="G1282" t="str">
            <v>A</v>
          </cell>
          <cell r="R1282">
            <v>0</v>
          </cell>
        </row>
        <row r="1283">
          <cell r="C1283" t="str">
            <v>GUACAVIA</v>
          </cell>
          <cell r="E1283">
            <v>0</v>
          </cell>
          <cell r="F1283">
            <v>0</v>
          </cell>
          <cell r="G1283" t="str">
            <v>A</v>
          </cell>
          <cell r="R1283">
            <v>0</v>
          </cell>
        </row>
        <row r="1284">
          <cell r="C1284" t="str">
            <v>LA SIERRA</v>
          </cell>
          <cell r="E1284">
            <v>0</v>
          </cell>
          <cell r="F1284">
            <v>0</v>
          </cell>
          <cell r="G1284" t="str">
            <v>A</v>
          </cell>
          <cell r="R1284">
            <v>0</v>
          </cell>
        </row>
        <row r="1285">
          <cell r="C1285" t="str">
            <v>BERBEO</v>
          </cell>
          <cell r="E1285">
            <v>0</v>
          </cell>
          <cell r="F1285">
            <v>0</v>
          </cell>
          <cell r="G1285" t="str">
            <v>A</v>
          </cell>
          <cell r="R1285">
            <v>0</v>
          </cell>
        </row>
        <row r="1286">
          <cell r="C1286" t="str">
            <v>MOLINERO</v>
          </cell>
          <cell r="E1286">
            <v>0</v>
          </cell>
          <cell r="F1286">
            <v>0</v>
          </cell>
          <cell r="G1286" t="str">
            <v>A</v>
          </cell>
          <cell r="R1286">
            <v>0</v>
          </cell>
        </row>
        <row r="1287">
          <cell r="C1287" t="str">
            <v>SAN LORENZO</v>
          </cell>
          <cell r="E1287">
            <v>0</v>
          </cell>
          <cell r="F1287">
            <v>0</v>
          </cell>
          <cell r="G1287" t="str">
            <v>A</v>
          </cell>
          <cell r="R1287">
            <v>0</v>
          </cell>
        </row>
        <row r="1288">
          <cell r="C1288" t="str">
            <v>HATO VIEJO </v>
          </cell>
          <cell r="E1288">
            <v>0</v>
          </cell>
          <cell r="F1288">
            <v>0</v>
          </cell>
          <cell r="G1288" t="str">
            <v>A</v>
          </cell>
          <cell r="R1288">
            <v>0</v>
          </cell>
        </row>
        <row r="1289">
          <cell r="C1289" t="str">
            <v>ROTINET</v>
          </cell>
          <cell r="E1289">
            <v>0</v>
          </cell>
          <cell r="F1289">
            <v>0</v>
          </cell>
          <cell r="G1289" t="str">
            <v>A</v>
          </cell>
          <cell r="R1289">
            <v>0</v>
          </cell>
        </row>
        <row r="1290">
          <cell r="C1290" t="str">
            <v>SAN ANTONIO DE AGUILERA</v>
          </cell>
          <cell r="E1290">
            <v>0</v>
          </cell>
          <cell r="F1290">
            <v>0</v>
          </cell>
          <cell r="G1290" t="str">
            <v>A</v>
          </cell>
          <cell r="R1290">
            <v>0</v>
          </cell>
        </row>
        <row r="1291">
          <cell r="C1291" t="str">
            <v>PUERTO GIRALDO</v>
          </cell>
          <cell r="D1291" t="str">
            <v>ATLANTICO</v>
          </cell>
          <cell r="E1291">
            <v>0</v>
          </cell>
          <cell r="F1291">
            <v>0</v>
          </cell>
          <cell r="G1291" t="str">
            <v>A</v>
          </cell>
          <cell r="R1291">
            <v>0</v>
          </cell>
        </row>
        <row r="1292">
          <cell r="C1292" t="str">
            <v>LA VEGA</v>
          </cell>
          <cell r="E1292">
            <v>0</v>
          </cell>
          <cell r="F1292">
            <v>0</v>
          </cell>
          <cell r="G1292" t="str">
            <v>A</v>
          </cell>
          <cell r="R1292">
            <v>0</v>
          </cell>
        </row>
        <row r="1293">
          <cell r="C1293" t="str">
            <v>CACHIPAY</v>
          </cell>
          <cell r="E1293">
            <v>0</v>
          </cell>
          <cell r="F1293">
            <v>0</v>
          </cell>
          <cell r="G1293" t="str">
            <v>A</v>
          </cell>
          <cell r="R1293">
            <v>0</v>
          </cell>
        </row>
        <row r="1294">
          <cell r="C1294" t="str">
            <v>SAN FRANCISCO (META)</v>
          </cell>
          <cell r="E1294">
            <v>0</v>
          </cell>
          <cell r="F1294">
            <v>0</v>
          </cell>
          <cell r="G1294" t="str">
            <v>A</v>
          </cell>
          <cell r="R1294">
            <v>0</v>
          </cell>
        </row>
        <row r="1295">
          <cell r="C1295" t="str">
            <v>CEILAN</v>
          </cell>
          <cell r="E1295">
            <v>0</v>
          </cell>
          <cell r="F1295">
            <v>0</v>
          </cell>
          <cell r="G1295" t="str">
            <v>A</v>
          </cell>
          <cell r="R1295">
            <v>0</v>
          </cell>
        </row>
        <row r="1296">
          <cell r="C1296" t="str">
            <v>BETANIA</v>
          </cell>
          <cell r="E1296">
            <v>0</v>
          </cell>
          <cell r="F1296">
            <v>0</v>
          </cell>
          <cell r="G1296" t="str">
            <v>A</v>
          </cell>
          <cell r="R1296">
            <v>0</v>
          </cell>
        </row>
        <row r="1297">
          <cell r="C1297" t="str">
            <v>BABEGA</v>
          </cell>
          <cell r="E1297">
            <v>0</v>
          </cell>
          <cell r="F1297">
            <v>0</v>
          </cell>
          <cell r="G1297" t="str">
            <v>A</v>
          </cell>
          <cell r="R1297">
            <v>0</v>
          </cell>
        </row>
        <row r="1298">
          <cell r="C1298" t="str">
            <v>COSTILLAS</v>
          </cell>
          <cell r="E1298">
            <v>0</v>
          </cell>
          <cell r="F1298">
            <v>0</v>
          </cell>
          <cell r="G1298" t="str">
            <v>A</v>
          </cell>
          <cell r="R1298">
            <v>0</v>
          </cell>
        </row>
        <row r="1299">
          <cell r="C1299" t="str">
            <v>EL SECRETO</v>
          </cell>
          <cell r="E1299">
            <v>0</v>
          </cell>
          <cell r="F1299">
            <v>0</v>
          </cell>
          <cell r="G1299" t="str">
            <v>A</v>
          </cell>
          <cell r="R1299">
            <v>0</v>
          </cell>
        </row>
        <row r="1300">
          <cell r="C1300" t="str">
            <v>SAN BERNARDO</v>
          </cell>
          <cell r="E1300">
            <v>0</v>
          </cell>
          <cell r="F1300">
            <v>0</v>
          </cell>
          <cell r="G1300" t="str">
            <v>A</v>
          </cell>
          <cell r="R1300">
            <v>0</v>
          </cell>
        </row>
        <row r="1301">
          <cell r="C1301" t="str">
            <v>SANTA RITA</v>
          </cell>
          <cell r="E1301">
            <v>0</v>
          </cell>
          <cell r="F1301">
            <v>0</v>
          </cell>
          <cell r="G1301" t="str">
            <v>A</v>
          </cell>
          <cell r="R1301">
            <v>0</v>
          </cell>
        </row>
        <row r="1302">
          <cell r="C1302" t="str">
            <v>GARAVITO</v>
          </cell>
          <cell r="E1302">
            <v>0</v>
          </cell>
          <cell r="F1302">
            <v>0</v>
          </cell>
          <cell r="G1302" t="str">
            <v>A</v>
          </cell>
          <cell r="R1302">
            <v>0</v>
          </cell>
        </row>
        <row r="1303">
          <cell r="C1303" t="str">
            <v>EL ESTRECHO</v>
          </cell>
          <cell r="E1303">
            <v>0</v>
          </cell>
          <cell r="F1303">
            <v>0</v>
          </cell>
          <cell r="G1303" t="str">
            <v>A</v>
          </cell>
          <cell r="R1303">
            <v>0</v>
          </cell>
        </row>
        <row r="1304">
          <cell r="C1304" t="str">
            <v>GALICIA</v>
          </cell>
          <cell r="E1304">
            <v>0</v>
          </cell>
          <cell r="F1304">
            <v>0</v>
          </cell>
          <cell r="G1304" t="str">
            <v>A</v>
          </cell>
          <cell r="R1304">
            <v>0</v>
          </cell>
        </row>
        <row r="1305">
          <cell r="C1305" t="str">
            <v>GUADUALITO</v>
          </cell>
          <cell r="E1305">
            <v>0</v>
          </cell>
          <cell r="F1305">
            <v>0</v>
          </cell>
          <cell r="G1305" t="str">
            <v>A</v>
          </cell>
          <cell r="R1305">
            <v>0</v>
          </cell>
        </row>
        <row r="1306">
          <cell r="C1306" t="str">
            <v>EL QUEREMAL</v>
          </cell>
          <cell r="E1306">
            <v>0</v>
          </cell>
          <cell r="F1306">
            <v>0</v>
          </cell>
          <cell r="G1306" t="str">
            <v>A</v>
          </cell>
          <cell r="R1306">
            <v>0</v>
          </cell>
        </row>
        <row r="1307">
          <cell r="C1307" t="str">
            <v>LA CAPILLA</v>
          </cell>
          <cell r="D1307" t="str">
            <v>CUNDINAMARCA</v>
          </cell>
          <cell r="E1307">
            <v>0</v>
          </cell>
          <cell r="F1307">
            <v>0</v>
          </cell>
          <cell r="G1307" t="str">
            <v>A</v>
          </cell>
          <cell r="R1307">
            <v>0</v>
          </cell>
        </row>
        <row r="1308">
          <cell r="C1308" t="str">
            <v>BARRAGAN</v>
          </cell>
          <cell r="E1308">
            <v>0</v>
          </cell>
          <cell r="F1308">
            <v>0</v>
          </cell>
          <cell r="G1308" t="str">
            <v>A</v>
          </cell>
          <cell r="R1308">
            <v>0</v>
          </cell>
        </row>
        <row r="1309">
          <cell r="C1309" t="str">
            <v>FENICIA</v>
          </cell>
          <cell r="E1309">
            <v>0</v>
          </cell>
          <cell r="F1309">
            <v>0</v>
          </cell>
          <cell r="G1309" t="str">
            <v>A</v>
          </cell>
          <cell r="R1309">
            <v>0</v>
          </cell>
        </row>
        <row r="1310">
          <cell r="C1310" t="str">
            <v>PUERTO MERIZALDE</v>
          </cell>
          <cell r="E1310">
            <v>0</v>
          </cell>
          <cell r="F1310">
            <v>0</v>
          </cell>
          <cell r="G1310" t="str">
            <v>A</v>
          </cell>
          <cell r="R1310">
            <v>0</v>
          </cell>
        </row>
        <row r="1311">
          <cell r="C1311" t="str">
            <v>IBAMA</v>
          </cell>
          <cell r="E1311">
            <v>0</v>
          </cell>
          <cell r="F1311">
            <v>0</v>
          </cell>
          <cell r="G1311" t="str">
            <v>A</v>
          </cell>
          <cell r="R1311">
            <v>0</v>
          </cell>
        </row>
        <row r="1312">
          <cell r="C1312" t="str">
            <v>BOHORQUEZ</v>
          </cell>
          <cell r="E1312">
            <v>0</v>
          </cell>
          <cell r="F1312">
            <v>0</v>
          </cell>
          <cell r="G1312" t="str">
            <v>A</v>
          </cell>
          <cell r="R1312">
            <v>0</v>
          </cell>
        </row>
        <row r="1313">
          <cell r="C1313" t="str">
            <v>BAJO JORDAN</v>
          </cell>
          <cell r="E1313">
            <v>0</v>
          </cell>
          <cell r="F1313">
            <v>0</v>
          </cell>
          <cell r="G1313" t="str">
            <v>A</v>
          </cell>
          <cell r="R1313">
            <v>0</v>
          </cell>
        </row>
        <row r="1314">
          <cell r="C1314" t="str">
            <v>PALMITAS</v>
          </cell>
          <cell r="E1314">
            <v>0</v>
          </cell>
          <cell r="F1314">
            <v>0</v>
          </cell>
          <cell r="G1314" t="str">
            <v>A</v>
          </cell>
          <cell r="R1314">
            <v>0</v>
          </cell>
        </row>
        <row r="1315">
          <cell r="C1315" t="str">
            <v>ACAPULCO</v>
          </cell>
          <cell r="D1315" t="str">
            <v>SANTANDER</v>
          </cell>
          <cell r="R1315">
            <v>0</v>
          </cell>
        </row>
        <row r="1316">
          <cell r="C1316" t="str">
            <v>AGUA DE DIOS</v>
          </cell>
          <cell r="D1316" t="str">
            <v>CUNDINAMARCA</v>
          </cell>
          <cell r="R1316">
            <v>0</v>
          </cell>
          <cell r="X1316">
            <v>1</v>
          </cell>
        </row>
        <row r="1317">
          <cell r="C1317" t="str">
            <v>AGUAS CLARAS</v>
          </cell>
          <cell r="D1317" t="str">
            <v>NORTE DE SANTANDER</v>
          </cell>
          <cell r="R1317">
            <v>0</v>
          </cell>
        </row>
        <row r="1318">
          <cell r="C1318" t="str">
            <v>AMAIME</v>
          </cell>
          <cell r="D1318" t="str">
            <v>VALLE</v>
          </cell>
          <cell r="R1318">
            <v>1</v>
          </cell>
        </row>
        <row r="1319">
          <cell r="C1319" t="str">
            <v>ARMERO </v>
          </cell>
          <cell r="D1319" t="str">
            <v>TOLIMA</v>
          </cell>
          <cell r="R1319">
            <v>1</v>
          </cell>
          <cell r="X1319">
            <v>1</v>
          </cell>
        </row>
        <row r="1320">
          <cell r="C1320" t="str">
            <v>BELEN DE BAJIRA</v>
          </cell>
          <cell r="D1320" t="str">
            <v>CHOCO</v>
          </cell>
          <cell r="R1320">
            <v>0</v>
          </cell>
        </row>
        <row r="1321">
          <cell r="C1321" t="str">
            <v>BRICEÑO</v>
          </cell>
          <cell r="D1321" t="str">
            <v>CUNDINAMARCA</v>
          </cell>
          <cell r="R1321">
            <v>0</v>
          </cell>
          <cell r="X1321">
            <v>1</v>
          </cell>
        </row>
        <row r="1322">
          <cell r="C1322" t="str">
            <v>BRUSELAS</v>
          </cell>
          <cell r="D1322" t="str">
            <v>HUILA</v>
          </cell>
          <cell r="R1322">
            <v>0</v>
          </cell>
        </row>
        <row r="1323">
          <cell r="C1323" t="str">
            <v>BURITACA</v>
          </cell>
          <cell r="D1323" t="str">
            <v>MAGDALENA</v>
          </cell>
          <cell r="R1323">
            <v>0</v>
          </cell>
        </row>
        <row r="1324">
          <cell r="C1324" t="str">
            <v>CALIMA</v>
          </cell>
          <cell r="D1324" t="str">
            <v>VALLE</v>
          </cell>
          <cell r="R1324">
            <v>0</v>
          </cell>
        </row>
        <row r="1325">
          <cell r="C1325" t="str">
            <v>CAMPO HERMOSO</v>
          </cell>
          <cell r="D1325" t="str">
            <v>CAQUETA</v>
          </cell>
          <cell r="R1325">
            <v>0</v>
          </cell>
        </row>
        <row r="1326">
          <cell r="C1326" t="str">
            <v>CASACAZA</v>
          </cell>
          <cell r="D1326" t="str">
            <v>CESAR</v>
          </cell>
          <cell r="R1326">
            <v>0</v>
          </cell>
        </row>
        <row r="1327">
          <cell r="C1327" t="str">
            <v>CERROMATOSO</v>
          </cell>
          <cell r="D1327" t="str">
            <v>CORDOBA</v>
          </cell>
          <cell r="R1327">
            <v>0</v>
          </cell>
        </row>
        <row r="1328">
          <cell r="C1328" t="str">
            <v>CHIBOLO</v>
          </cell>
          <cell r="D1328" t="str">
            <v>MAGDALENA</v>
          </cell>
          <cell r="R1328">
            <v>0</v>
          </cell>
        </row>
        <row r="1329">
          <cell r="C1329" t="str">
            <v>EL CARMELO</v>
          </cell>
          <cell r="D1329" t="str">
            <v>VALLE</v>
          </cell>
          <cell r="R1329">
            <v>0</v>
          </cell>
          <cell r="X1329">
            <v>1</v>
          </cell>
        </row>
        <row r="1330">
          <cell r="C1330" t="str">
            <v>EL CARMEN DE CHUCURI</v>
          </cell>
          <cell r="D1330" t="str">
            <v>SANTANDER</v>
          </cell>
          <cell r="R1330">
            <v>0</v>
          </cell>
        </row>
        <row r="1331">
          <cell r="C1331" t="str">
            <v>EL ESPINO</v>
          </cell>
          <cell r="D1331" t="str">
            <v>BOYACA</v>
          </cell>
          <cell r="R1331">
            <v>0</v>
          </cell>
        </row>
        <row r="1332">
          <cell r="C1332" t="str">
            <v>EL LLANITO</v>
          </cell>
          <cell r="D1332" t="str">
            <v>SANTANDER</v>
          </cell>
          <cell r="R1332">
            <v>0</v>
          </cell>
        </row>
        <row r="1333">
          <cell r="C1333" t="str">
            <v>GAIRA</v>
          </cell>
          <cell r="D1333" t="str">
            <v>MAGDALENA</v>
          </cell>
          <cell r="R1333">
            <v>0</v>
          </cell>
        </row>
        <row r="1334">
          <cell r="C1334" t="str">
            <v>GUARINOCITO</v>
          </cell>
          <cell r="D1334" t="str">
            <v>CALDAS</v>
          </cell>
          <cell r="R1334">
            <v>0</v>
          </cell>
          <cell r="X1334">
            <v>1</v>
          </cell>
        </row>
        <row r="1335">
          <cell r="C1335" t="str">
            <v>GUATAVITA</v>
          </cell>
          <cell r="D1335" t="str">
            <v>CUNDINAMARCA</v>
          </cell>
          <cell r="R1335">
            <v>0</v>
          </cell>
          <cell r="X1335">
            <v>1</v>
          </cell>
        </row>
        <row r="1336">
          <cell r="C1336" t="str">
            <v>GUAYABAL</v>
          </cell>
          <cell r="D1336" t="str">
            <v>SUCRE</v>
          </cell>
          <cell r="R1336">
            <v>0</v>
          </cell>
        </row>
        <row r="1337">
          <cell r="C1337" t="str">
            <v>JUAN MINA</v>
          </cell>
          <cell r="D1337" t="str">
            <v>ATLANTICO</v>
          </cell>
          <cell r="R1337">
            <v>0</v>
          </cell>
        </row>
        <row r="1338">
          <cell r="C1338" t="str">
            <v>LA DORADA</v>
          </cell>
          <cell r="D1338" t="str">
            <v>PUTUMAYO</v>
          </cell>
          <cell r="R1338">
            <v>0</v>
          </cell>
        </row>
        <row r="1339">
          <cell r="C1339" t="str">
            <v>LA FLORESTA</v>
          </cell>
          <cell r="D1339" t="str">
            <v>NORTE DE SANTANDER</v>
          </cell>
          <cell r="R1339">
            <v>0</v>
          </cell>
        </row>
        <row r="1340">
          <cell r="C1340" t="str">
            <v>LA GRAN VIA</v>
          </cell>
          <cell r="D1340" t="str">
            <v>MAGDALENA</v>
          </cell>
          <cell r="R1340">
            <v>0</v>
          </cell>
        </row>
        <row r="1341">
          <cell r="C1341" t="str">
            <v>LA JARRA</v>
          </cell>
          <cell r="D1341" t="str">
            <v>NORTE DE SANTANDER</v>
          </cell>
          <cell r="R1341">
            <v>0</v>
          </cell>
        </row>
        <row r="1342">
          <cell r="C1342" t="str">
            <v>LA LOMA</v>
          </cell>
          <cell r="D1342" t="str">
            <v>CESAR</v>
          </cell>
          <cell r="R1342">
            <v>0</v>
          </cell>
          <cell r="X1342">
            <v>1</v>
          </cell>
        </row>
        <row r="1343">
          <cell r="C1343" t="str">
            <v>LA MINA</v>
          </cell>
          <cell r="D1343" t="str">
            <v>LA GUAJIRA</v>
          </cell>
          <cell r="R1343">
            <v>0</v>
          </cell>
          <cell r="X1343">
            <v>1</v>
          </cell>
        </row>
        <row r="1344">
          <cell r="C1344" t="str">
            <v>LA MINA DRUMOND</v>
          </cell>
          <cell r="D1344" t="str">
            <v>CESAR</v>
          </cell>
          <cell r="R1344">
            <v>0</v>
          </cell>
          <cell r="X1344">
            <v>1</v>
          </cell>
        </row>
        <row r="1345">
          <cell r="C1345" t="str">
            <v>LA PAZ</v>
          </cell>
          <cell r="D1345" t="str">
            <v>LA GUAJIRA</v>
          </cell>
          <cell r="R1345">
            <v>0</v>
          </cell>
        </row>
        <row r="1346">
          <cell r="C1346" t="str">
            <v>LA UNION</v>
          </cell>
          <cell r="D1346" t="str">
            <v>NARIÑO</v>
          </cell>
          <cell r="R1346">
            <v>1</v>
          </cell>
          <cell r="X1346">
            <v>1</v>
          </cell>
        </row>
        <row r="1347">
          <cell r="C1347" t="str">
            <v>LAGRANZAGRANDE</v>
          </cell>
          <cell r="D1347" t="str">
            <v>BOYACA</v>
          </cell>
          <cell r="R1347">
            <v>0</v>
          </cell>
        </row>
        <row r="1348">
          <cell r="C1348" t="str">
            <v>LIMONCITOS</v>
          </cell>
          <cell r="D1348" t="str">
            <v>CUNDINAMARCA</v>
          </cell>
          <cell r="R1348">
            <v>0</v>
          </cell>
        </row>
        <row r="1349">
          <cell r="C1349" t="str">
            <v>OLAYA HERRERA</v>
          </cell>
          <cell r="D1349" t="str">
            <v>NARIÑO</v>
          </cell>
          <cell r="R1349">
            <v>0</v>
          </cell>
        </row>
        <row r="1350">
          <cell r="C1350" t="str">
            <v>PAJONALES</v>
          </cell>
          <cell r="D1350" t="str">
            <v>TOLIMA</v>
          </cell>
          <cell r="R1350">
            <v>0</v>
          </cell>
        </row>
        <row r="1351">
          <cell r="C1351" t="str">
            <v>PALERMO</v>
          </cell>
          <cell r="D1351" t="str">
            <v>MAGDALENA</v>
          </cell>
          <cell r="R1351">
            <v>0</v>
          </cell>
        </row>
        <row r="1352">
          <cell r="C1352" t="str">
            <v>PALMAR DE VARELA</v>
          </cell>
          <cell r="D1352" t="str">
            <v>ATLANTICO</v>
          </cell>
          <cell r="R1352">
            <v>0</v>
          </cell>
          <cell r="X1352">
            <v>1</v>
          </cell>
        </row>
        <row r="1353">
          <cell r="C1353" t="str">
            <v>PALOMINO</v>
          </cell>
          <cell r="D1353" t="str">
            <v>LA GUAJIRA</v>
          </cell>
          <cell r="R1353">
            <v>0</v>
          </cell>
        </row>
        <row r="1354">
          <cell r="C1354" t="str">
            <v>PARAGUACHON</v>
          </cell>
          <cell r="D1354" t="str">
            <v>LA GUAJIRA</v>
          </cell>
          <cell r="R1354">
            <v>0</v>
          </cell>
        </row>
        <row r="1355">
          <cell r="C1355" t="str">
            <v>PUENTE QUETAME</v>
          </cell>
          <cell r="D1355" t="str">
            <v>CUNDINAMARCA</v>
          </cell>
          <cell r="R1355">
            <v>0</v>
          </cell>
        </row>
        <row r="1356">
          <cell r="C1356" t="str">
            <v>PUERTO BOGOTA</v>
          </cell>
          <cell r="D1356" t="str">
            <v>CUNDINAMARCA</v>
          </cell>
          <cell r="R1356">
            <v>0</v>
          </cell>
        </row>
        <row r="1357">
          <cell r="C1357" t="str">
            <v>PUERTO CAICEDO</v>
          </cell>
          <cell r="D1357" t="str">
            <v>PUTUMAYO</v>
          </cell>
          <cell r="R1357">
            <v>0</v>
          </cell>
          <cell r="X1357">
            <v>1</v>
          </cell>
        </row>
        <row r="1358">
          <cell r="C1358" t="str">
            <v>ROSO</v>
          </cell>
          <cell r="D1358" t="str">
            <v>VALLE</v>
          </cell>
          <cell r="R1358">
            <v>0</v>
          </cell>
          <cell r="X1358">
            <v>1</v>
          </cell>
        </row>
        <row r="1359">
          <cell r="C1359" t="str">
            <v>SABANAS</v>
          </cell>
          <cell r="D1359" t="str">
            <v>MAGDALENA</v>
          </cell>
          <cell r="R1359">
            <v>0</v>
          </cell>
        </row>
        <row r="1360">
          <cell r="C1360" t="str">
            <v>SAMARIA</v>
          </cell>
          <cell r="D1360" t="str">
            <v>CALDAS</v>
          </cell>
          <cell r="R1360">
            <v>0</v>
          </cell>
        </row>
        <row r="1361">
          <cell r="C1361" t="str">
            <v>SAN BERNARDO DE BATA</v>
          </cell>
          <cell r="D1361" t="str">
            <v>NORTE DE SANTANDER</v>
          </cell>
          <cell r="R1361">
            <v>0</v>
          </cell>
        </row>
        <row r="1362">
          <cell r="C1362" t="str">
            <v>SAN JUAN DE BETULIA</v>
          </cell>
          <cell r="D1362" t="str">
            <v>SUCRE</v>
          </cell>
          <cell r="R1362">
            <v>0</v>
          </cell>
        </row>
        <row r="1363">
          <cell r="C1363" t="str">
            <v>SAN JUAN DEL LOSADA</v>
          </cell>
          <cell r="D1363" t="str">
            <v>META</v>
          </cell>
          <cell r="R1363">
            <v>0</v>
          </cell>
        </row>
        <row r="1364">
          <cell r="C1364" t="str">
            <v>SAN PABLO</v>
          </cell>
          <cell r="D1364" t="str">
            <v>BOLIVAR</v>
          </cell>
          <cell r="R1364">
            <v>0</v>
          </cell>
          <cell r="X1364">
            <v>1</v>
          </cell>
        </row>
        <row r="1365">
          <cell r="C1365" t="str">
            <v>SANTA ANA</v>
          </cell>
          <cell r="D1365" t="str">
            <v>BOLIVAR</v>
          </cell>
          <cell r="R1365">
            <v>0</v>
          </cell>
        </row>
        <row r="1366">
          <cell r="C1366" t="str">
            <v>SANTA ROSA DE LIMA</v>
          </cell>
          <cell r="D1366" t="str">
            <v>BOLIVAR</v>
          </cell>
          <cell r="R1366">
            <v>0</v>
          </cell>
        </row>
        <row r="1367">
          <cell r="C1367" t="str">
            <v>SANTA ROSA DEL SUR</v>
          </cell>
          <cell r="D1367" t="str">
            <v>BOLIVAR</v>
          </cell>
          <cell r="R1367">
            <v>0</v>
          </cell>
          <cell r="X1367">
            <v>1</v>
          </cell>
        </row>
        <row r="1368">
          <cell r="C1368" t="str">
            <v>SANTANDERCITO</v>
          </cell>
          <cell r="D1368" t="str">
            <v>CUNDINAMARCA</v>
          </cell>
          <cell r="R1368">
            <v>0</v>
          </cell>
          <cell r="X1368">
            <v>1</v>
          </cell>
        </row>
        <row r="1369">
          <cell r="C1369" t="str">
            <v>SOGAMOSO</v>
          </cell>
          <cell r="D1369" t="str">
            <v>SANTANDER</v>
          </cell>
          <cell r="R1369">
            <v>0</v>
          </cell>
        </row>
        <row r="1370">
          <cell r="C1370" t="str">
            <v>TIBACOQUE</v>
          </cell>
          <cell r="D1370" t="str">
            <v>BOYACA</v>
          </cell>
          <cell r="R1370">
            <v>0</v>
          </cell>
        </row>
        <row r="1371">
          <cell r="C1371" t="str">
            <v>TIBITO</v>
          </cell>
          <cell r="D1371" t="str">
            <v>CUNDINAMARCA</v>
          </cell>
          <cell r="R1371">
            <v>0</v>
          </cell>
        </row>
        <row r="1372">
          <cell r="C1372" t="str">
            <v>TUCHIN</v>
          </cell>
          <cell r="D1372" t="str">
            <v>CORDOBA</v>
          </cell>
          <cell r="R1372">
            <v>1</v>
          </cell>
          <cell r="X1372">
            <v>1</v>
          </cell>
        </row>
        <row r="1373">
          <cell r="C1373" t="str">
            <v>VALLE DE SAN JUAN</v>
          </cell>
          <cell r="D1373" t="str">
            <v>TOLIMA</v>
          </cell>
          <cell r="R1373">
            <v>0</v>
          </cell>
        </row>
        <row r="1374">
          <cell r="C1374" t="str">
            <v>VILLA GORGONA</v>
          </cell>
          <cell r="D1374" t="str">
            <v>VALLE</v>
          </cell>
          <cell r="R1374">
            <v>1</v>
          </cell>
        </row>
        <row r="1375">
          <cell r="C1375" t="str">
            <v>VILLA HERMOSA</v>
          </cell>
          <cell r="D1375" t="str">
            <v>TOLIMA</v>
          </cell>
          <cell r="R1375">
            <v>0</v>
          </cell>
        </row>
        <row r="1376">
          <cell r="C1376" t="str">
            <v>YATI</v>
          </cell>
          <cell r="D1376" t="str">
            <v>BOLIVAR</v>
          </cell>
          <cell r="R1376">
            <v>0</v>
          </cell>
        </row>
        <row r="1377">
          <cell r="C1377" t="str">
            <v>ZARAGOZA</v>
          </cell>
          <cell r="D1377" t="str">
            <v>VALLE</v>
          </cell>
          <cell r="R1377">
            <v>0</v>
          </cell>
        </row>
      </sheetData>
      <sheetData sheetId="5">
        <row r="9">
          <cell r="F9">
            <v>102</v>
          </cell>
          <cell r="H9">
            <v>882045</v>
          </cell>
        </row>
        <row r="10">
          <cell r="F10">
            <v>126</v>
          </cell>
          <cell r="H10">
            <v>882045</v>
          </cell>
        </row>
        <row r="11">
          <cell r="F11">
            <v>132</v>
          </cell>
          <cell r="H11">
            <v>882045</v>
          </cell>
        </row>
        <row r="12">
          <cell r="F12">
            <v>156</v>
          </cell>
          <cell r="H12">
            <v>882045</v>
          </cell>
        </row>
        <row r="13">
          <cell r="F13">
            <v>33</v>
          </cell>
          <cell r="H13">
            <v>1606500</v>
          </cell>
        </row>
        <row r="15">
          <cell r="C15">
            <v>3</v>
          </cell>
          <cell r="D15">
            <v>6</v>
          </cell>
          <cell r="E15">
            <v>21</v>
          </cell>
          <cell r="F15">
            <v>30</v>
          </cell>
        </row>
        <row r="19">
          <cell r="C19">
            <v>300</v>
          </cell>
          <cell r="D19">
            <v>40000</v>
          </cell>
        </row>
        <row r="20">
          <cell r="C20">
            <v>250</v>
          </cell>
          <cell r="D20">
            <v>30000</v>
          </cell>
        </row>
        <row r="21">
          <cell r="C21">
            <v>250</v>
          </cell>
          <cell r="D21">
            <v>30000</v>
          </cell>
        </row>
        <row r="22">
          <cell r="C22">
            <v>250</v>
          </cell>
          <cell r="D22">
            <v>30000</v>
          </cell>
        </row>
        <row r="23">
          <cell r="C23">
            <v>60</v>
          </cell>
          <cell r="D23">
            <v>25000</v>
          </cell>
        </row>
        <row r="24">
          <cell r="C24">
            <v>60</v>
          </cell>
          <cell r="D24">
            <v>25000</v>
          </cell>
        </row>
        <row r="25">
          <cell r="C25">
            <v>60</v>
          </cell>
          <cell r="D25">
            <v>30000</v>
          </cell>
        </row>
        <row r="26">
          <cell r="C26">
            <v>60</v>
          </cell>
          <cell r="D26">
            <v>20000</v>
          </cell>
        </row>
        <row r="27">
          <cell r="C27">
            <v>60</v>
          </cell>
          <cell r="D27">
            <v>25000</v>
          </cell>
        </row>
        <row r="28">
          <cell r="C28">
            <v>60</v>
          </cell>
          <cell r="D28">
            <v>20000</v>
          </cell>
        </row>
        <row r="29">
          <cell r="C29">
            <v>60</v>
          </cell>
          <cell r="D29">
            <v>25000</v>
          </cell>
        </row>
        <row r="30">
          <cell r="C30">
            <v>60</v>
          </cell>
          <cell r="D30">
            <v>20000</v>
          </cell>
        </row>
        <row r="31">
          <cell r="C31">
            <v>60</v>
          </cell>
          <cell r="D31">
            <v>25000</v>
          </cell>
        </row>
        <row r="32">
          <cell r="C32">
            <v>60</v>
          </cell>
          <cell r="D32">
            <v>15000</v>
          </cell>
        </row>
        <row r="33">
          <cell r="C33">
            <v>60</v>
          </cell>
          <cell r="D33">
            <v>15000</v>
          </cell>
        </row>
        <row r="34">
          <cell r="C34">
            <v>60</v>
          </cell>
          <cell r="D34">
            <v>20000</v>
          </cell>
        </row>
        <row r="35">
          <cell r="C35">
            <v>60</v>
          </cell>
          <cell r="D35">
            <v>20000</v>
          </cell>
        </row>
        <row r="36">
          <cell r="C36">
            <v>60</v>
          </cell>
          <cell r="D36">
            <v>15000</v>
          </cell>
        </row>
        <row r="37">
          <cell r="C37">
            <v>60</v>
          </cell>
          <cell r="D37">
            <v>20000</v>
          </cell>
        </row>
        <row r="38">
          <cell r="C38">
            <v>60</v>
          </cell>
          <cell r="D38">
            <v>25000</v>
          </cell>
        </row>
        <row r="39">
          <cell r="C39">
            <v>50</v>
          </cell>
          <cell r="D39">
            <v>10000</v>
          </cell>
        </row>
        <row r="40">
          <cell r="C40">
            <v>50</v>
          </cell>
          <cell r="D40">
            <v>10000</v>
          </cell>
        </row>
        <row r="41">
          <cell r="C41">
            <v>50</v>
          </cell>
          <cell r="D41">
            <v>15000</v>
          </cell>
        </row>
        <row r="42">
          <cell r="C42">
            <v>50</v>
          </cell>
          <cell r="D42">
            <v>12500</v>
          </cell>
        </row>
        <row r="43">
          <cell r="C43">
            <v>50</v>
          </cell>
          <cell r="D43">
            <v>10000</v>
          </cell>
        </row>
        <row r="46">
          <cell r="E46">
            <v>250000</v>
          </cell>
        </row>
        <row r="47">
          <cell r="E47">
            <v>500000</v>
          </cell>
        </row>
        <row r="48">
          <cell r="E48">
            <v>750000</v>
          </cell>
        </row>
        <row r="49">
          <cell r="E49">
            <v>1000000</v>
          </cell>
        </row>
        <row r="50">
          <cell r="E50">
            <v>1250000</v>
          </cell>
        </row>
        <row r="55">
          <cell r="D55">
            <v>1</v>
          </cell>
          <cell r="E55">
            <v>882045</v>
          </cell>
        </row>
        <row r="56">
          <cell r="D56">
            <v>1</v>
          </cell>
        </row>
        <row r="57">
          <cell r="D57">
            <v>0</v>
          </cell>
        </row>
        <row r="59">
          <cell r="D59">
            <v>1</v>
          </cell>
          <cell r="E59">
            <v>1606500</v>
          </cell>
        </row>
        <row r="60">
          <cell r="D60">
            <v>1</v>
          </cell>
          <cell r="E60">
            <v>882045</v>
          </cell>
        </row>
        <row r="61">
          <cell r="D61">
            <v>21</v>
          </cell>
        </row>
        <row r="70">
          <cell r="E70">
            <v>460000</v>
          </cell>
        </row>
        <row r="77">
          <cell r="E77">
            <v>470000</v>
          </cell>
        </row>
        <row r="84">
          <cell r="E84">
            <v>480000</v>
          </cell>
        </row>
        <row r="91">
          <cell r="E91">
            <v>490000</v>
          </cell>
        </row>
        <row r="98">
          <cell r="E98">
            <v>500000</v>
          </cell>
        </row>
        <row r="105">
          <cell r="E105">
            <v>515000</v>
          </cell>
        </row>
        <row r="112">
          <cell r="E112">
            <v>525000</v>
          </cell>
        </row>
        <row r="119">
          <cell r="E119">
            <v>535000</v>
          </cell>
        </row>
        <row r="126">
          <cell r="E126">
            <v>615000</v>
          </cell>
        </row>
        <row r="133">
          <cell r="E133">
            <v>625000</v>
          </cell>
        </row>
        <row r="140">
          <cell r="E140">
            <v>635000</v>
          </cell>
        </row>
        <row r="147">
          <cell r="E147">
            <v>640000</v>
          </cell>
        </row>
        <row r="154">
          <cell r="E154">
            <v>650000</v>
          </cell>
        </row>
        <row r="161">
          <cell r="E161">
            <v>690000</v>
          </cell>
        </row>
        <row r="168">
          <cell r="E168">
            <v>700000</v>
          </cell>
        </row>
        <row r="170">
          <cell r="C170">
            <v>7500000</v>
          </cell>
        </row>
        <row r="195">
          <cell r="C195">
            <v>8</v>
          </cell>
        </row>
        <row r="196">
          <cell r="C196">
            <v>26</v>
          </cell>
        </row>
        <row r="197">
          <cell r="C197">
            <v>0.2</v>
          </cell>
        </row>
        <row r="198">
          <cell r="C198">
            <v>0.8</v>
          </cell>
        </row>
        <row r="202">
          <cell r="C202">
            <v>576</v>
          </cell>
        </row>
        <row r="203">
          <cell r="C203">
            <v>124</v>
          </cell>
        </row>
        <row r="206">
          <cell r="C206">
            <v>576</v>
          </cell>
        </row>
        <row r="207">
          <cell r="C207">
            <v>124</v>
          </cell>
        </row>
        <row r="210">
          <cell r="C210">
            <v>576</v>
          </cell>
        </row>
        <row r="211">
          <cell r="C211">
            <v>124</v>
          </cell>
        </row>
        <row r="214">
          <cell r="D214">
            <v>0.05</v>
          </cell>
          <cell r="E214">
            <v>0.05125</v>
          </cell>
          <cell r="F214">
            <v>0.0525</v>
          </cell>
          <cell r="G214">
            <v>0.05375</v>
          </cell>
          <cell r="H214">
            <v>0.055</v>
          </cell>
          <cell r="I214">
            <v>0.05625</v>
          </cell>
          <cell r="J214">
            <v>0.0575</v>
          </cell>
          <cell r="K214">
            <v>0.05875</v>
          </cell>
          <cell r="L214">
            <v>0.06</v>
          </cell>
          <cell r="M214">
            <v>0.06125</v>
          </cell>
        </row>
        <row r="215">
          <cell r="C215">
            <v>0.8</v>
          </cell>
          <cell r="D215">
            <v>0.81</v>
          </cell>
          <cell r="E215">
            <v>0.81125</v>
          </cell>
          <cell r="F215">
            <v>0.8125</v>
          </cell>
          <cell r="G215">
            <v>0.81375</v>
          </cell>
          <cell r="H215">
            <v>0.815</v>
          </cell>
          <cell r="I215">
            <v>0.81625</v>
          </cell>
          <cell r="J215">
            <v>0.8175</v>
          </cell>
          <cell r="K215">
            <v>0.81875</v>
          </cell>
          <cell r="L215">
            <v>0.82</v>
          </cell>
          <cell r="M215">
            <v>0.82125</v>
          </cell>
        </row>
        <row r="223">
          <cell r="C223">
            <v>1</v>
          </cell>
          <cell r="D223">
            <v>1606500</v>
          </cell>
        </row>
        <row r="224">
          <cell r="C224">
            <v>1</v>
          </cell>
          <cell r="D224">
            <v>882045</v>
          </cell>
        </row>
        <row r="225">
          <cell r="C225">
            <v>7</v>
          </cell>
        </row>
        <row r="228">
          <cell r="C228">
            <v>180</v>
          </cell>
          <cell r="D228">
            <v>50000</v>
          </cell>
        </row>
        <row r="229">
          <cell r="C229">
            <v>140</v>
          </cell>
          <cell r="D229">
            <v>30000</v>
          </cell>
        </row>
        <row r="230">
          <cell r="C230">
            <v>140</v>
          </cell>
          <cell r="D230">
            <v>30000</v>
          </cell>
        </row>
        <row r="231">
          <cell r="C231">
            <v>140</v>
          </cell>
          <cell r="D231">
            <v>30000</v>
          </cell>
        </row>
        <row r="232">
          <cell r="C232">
            <v>80</v>
          </cell>
          <cell r="D232">
            <v>25000</v>
          </cell>
        </row>
        <row r="233">
          <cell r="C233">
            <v>80</v>
          </cell>
          <cell r="D233">
            <v>25000</v>
          </cell>
        </row>
        <row r="234">
          <cell r="C234">
            <v>80</v>
          </cell>
          <cell r="D234">
            <v>30000</v>
          </cell>
        </row>
        <row r="235">
          <cell r="C235">
            <v>7</v>
          </cell>
        </row>
        <row r="238">
          <cell r="D238">
            <v>2500000</v>
          </cell>
        </row>
        <row r="239">
          <cell r="D239">
            <v>1250000</v>
          </cell>
        </row>
        <row r="240">
          <cell r="D240">
            <v>2250000</v>
          </cell>
        </row>
        <row r="241">
          <cell r="D241">
            <v>3000000</v>
          </cell>
        </row>
        <row r="248">
          <cell r="C248">
            <v>0.10882756326066179</v>
          </cell>
          <cell r="D248">
            <v>0.6438116625962417</v>
          </cell>
        </row>
        <row r="252">
          <cell r="C252">
            <v>0.7800778918146134</v>
          </cell>
          <cell r="D252">
            <v>0.7713453333646045</v>
          </cell>
        </row>
        <row r="256">
          <cell r="D256">
            <v>0.7671641647494915</v>
          </cell>
        </row>
        <row r="270">
          <cell r="B270">
            <v>560</v>
          </cell>
          <cell r="D270">
            <v>634892.3721710894</v>
          </cell>
        </row>
        <row r="272">
          <cell r="B272">
            <v>2200</v>
          </cell>
          <cell r="D272">
            <v>802348.1462248845</v>
          </cell>
        </row>
        <row r="276">
          <cell r="C276">
            <v>1</v>
          </cell>
          <cell r="D276">
            <v>882045</v>
          </cell>
        </row>
        <row r="277">
          <cell r="C277">
            <v>1</v>
          </cell>
        </row>
        <row r="278">
          <cell r="C278">
            <v>26</v>
          </cell>
        </row>
        <row r="280">
          <cell r="C280">
            <v>1</v>
          </cell>
          <cell r="D280">
            <v>1606500</v>
          </cell>
        </row>
        <row r="281">
          <cell r="C281">
            <v>3</v>
          </cell>
          <cell r="D281">
            <v>882045</v>
          </cell>
        </row>
        <row r="282">
          <cell r="C282">
            <v>7</v>
          </cell>
        </row>
        <row r="313">
          <cell r="C313">
            <v>0.5010677498300936</v>
          </cell>
        </row>
        <row r="316">
          <cell r="C316">
            <v>1240.4</v>
          </cell>
        </row>
        <row r="326">
          <cell r="C326">
            <v>0.8</v>
          </cell>
        </row>
        <row r="327">
          <cell r="C327">
            <v>0.7</v>
          </cell>
        </row>
        <row r="328">
          <cell r="C328">
            <v>0.6</v>
          </cell>
        </row>
        <row r="329">
          <cell r="C329">
            <v>0.5</v>
          </cell>
        </row>
        <row r="330">
          <cell r="C330">
            <v>0.9</v>
          </cell>
        </row>
        <row r="335">
          <cell r="C335">
            <v>65672.54710287419</v>
          </cell>
        </row>
        <row r="336">
          <cell r="C336">
            <v>69759.45182019005</v>
          </cell>
        </row>
        <row r="337">
          <cell r="C337">
            <v>73247.42441119955</v>
          </cell>
        </row>
        <row r="339">
          <cell r="C339">
            <v>0.01</v>
          </cell>
          <cell r="D339">
            <v>0.00125</v>
          </cell>
          <cell r="E339">
            <v>0.00125</v>
          </cell>
          <cell r="F339">
            <v>0.00125</v>
          </cell>
          <cell r="G339">
            <v>0.00125</v>
          </cell>
          <cell r="H339">
            <v>0.00125</v>
          </cell>
          <cell r="I339">
            <v>0.00125</v>
          </cell>
          <cell r="J339">
            <v>0.00125</v>
          </cell>
          <cell r="K339">
            <v>0.00125</v>
          </cell>
          <cell r="L339">
            <v>0.00125</v>
          </cell>
        </row>
        <row r="341">
          <cell r="C341">
            <v>800110.7153559993</v>
          </cell>
        </row>
        <row r="342">
          <cell r="C342">
            <v>872225.3794442288</v>
          </cell>
        </row>
        <row r="343">
          <cell r="C343">
            <v>997226.8500945265</v>
          </cell>
        </row>
        <row r="345">
          <cell r="C345">
            <v>1</v>
          </cell>
          <cell r="D345">
            <v>1606500</v>
          </cell>
        </row>
        <row r="346">
          <cell r="C346">
            <v>1</v>
          </cell>
          <cell r="D346">
            <v>882045</v>
          </cell>
        </row>
        <row r="347">
          <cell r="C347">
            <v>7</v>
          </cell>
        </row>
        <row r="352">
          <cell r="C352">
            <v>212106.31764020253</v>
          </cell>
          <cell r="D352">
            <v>1168866.1833529351</v>
          </cell>
        </row>
        <row r="353">
          <cell r="C353">
            <v>190131</v>
          </cell>
          <cell r="D353">
            <v>1168866</v>
          </cell>
        </row>
        <row r="354">
          <cell r="C354">
            <v>159647</v>
          </cell>
          <cell r="D354">
            <v>1128437</v>
          </cell>
        </row>
        <row r="373">
          <cell r="C373">
            <v>0</v>
          </cell>
          <cell r="D373">
            <v>0.01</v>
          </cell>
          <cell r="E373">
            <v>0.01125</v>
          </cell>
          <cell r="F373">
            <v>0.0125</v>
          </cell>
          <cell r="G373">
            <v>0.01375</v>
          </cell>
          <cell r="H373">
            <v>0.015</v>
          </cell>
          <cell r="I373">
            <v>0.01625</v>
          </cell>
          <cell r="J373">
            <v>0.0175</v>
          </cell>
          <cell r="K373">
            <v>0.01875</v>
          </cell>
          <cell r="L373">
            <v>0.02</v>
          </cell>
          <cell r="M373">
            <v>0.02125</v>
          </cell>
        </row>
        <row r="374">
          <cell r="C374">
            <v>0</v>
          </cell>
          <cell r="D374">
            <v>0.01</v>
          </cell>
          <cell r="E374">
            <v>0.01125</v>
          </cell>
          <cell r="F374">
            <v>0.0125</v>
          </cell>
          <cell r="G374">
            <v>0.01375</v>
          </cell>
          <cell r="H374">
            <v>0.015</v>
          </cell>
          <cell r="I374">
            <v>0.01625</v>
          </cell>
          <cell r="J374">
            <v>0.0175</v>
          </cell>
          <cell r="K374">
            <v>0.01875</v>
          </cell>
          <cell r="L374">
            <v>0.02</v>
          </cell>
          <cell r="M374">
            <v>0.02125</v>
          </cell>
        </row>
        <row r="375">
          <cell r="C375">
            <v>0</v>
          </cell>
          <cell r="D375">
            <v>0.01</v>
          </cell>
          <cell r="E375">
            <v>0.01125</v>
          </cell>
          <cell r="F375">
            <v>0.0125</v>
          </cell>
          <cell r="G375">
            <v>0.01375</v>
          </cell>
          <cell r="H375">
            <v>0.015</v>
          </cell>
          <cell r="I375">
            <v>0.01625</v>
          </cell>
          <cell r="J375">
            <v>0.0175</v>
          </cell>
          <cell r="K375">
            <v>0.01875</v>
          </cell>
          <cell r="L375">
            <v>0.02</v>
          </cell>
          <cell r="M375">
            <v>0.02125</v>
          </cell>
        </row>
        <row r="377">
          <cell r="C377">
            <v>1110422.8741852883</v>
          </cell>
        </row>
        <row r="378">
          <cell r="C378">
            <v>1110422.7</v>
          </cell>
        </row>
        <row r="379">
          <cell r="C379">
            <v>1072015.15</v>
          </cell>
        </row>
        <row r="381">
          <cell r="C381">
            <v>1</v>
          </cell>
          <cell r="D381">
            <v>1606500</v>
          </cell>
        </row>
        <row r="382">
          <cell r="C382">
            <v>1</v>
          </cell>
          <cell r="D382">
            <v>882045</v>
          </cell>
        </row>
        <row r="383">
          <cell r="C383">
            <v>7</v>
          </cell>
        </row>
        <row r="444">
          <cell r="C444">
            <v>61</v>
          </cell>
          <cell r="D444">
            <v>248900000</v>
          </cell>
          <cell r="E444">
            <v>144</v>
          </cell>
          <cell r="F444">
            <v>470400000</v>
          </cell>
        </row>
        <row r="447">
          <cell r="C447">
            <v>45</v>
          </cell>
          <cell r="D447">
            <v>179100000</v>
          </cell>
          <cell r="E447">
            <v>102</v>
          </cell>
          <cell r="F447">
            <v>318000000</v>
          </cell>
        </row>
        <row r="450">
          <cell r="D450">
            <v>306634500</v>
          </cell>
        </row>
        <row r="451">
          <cell r="D451">
            <v>5</v>
          </cell>
        </row>
        <row r="452">
          <cell r="D452">
            <v>5</v>
          </cell>
        </row>
        <row r="454">
          <cell r="D454">
            <v>0.15</v>
          </cell>
        </row>
        <row r="456">
          <cell r="D456">
            <v>0.3</v>
          </cell>
        </row>
        <row r="457">
          <cell r="D457">
            <v>2</v>
          </cell>
        </row>
        <row r="458">
          <cell r="D458">
            <v>40</v>
          </cell>
        </row>
        <row r="459">
          <cell r="D459">
            <v>2000000</v>
          </cell>
        </row>
      </sheetData>
      <sheetData sheetId="6">
        <row r="9">
          <cell r="C9">
            <v>50</v>
          </cell>
          <cell r="D9">
            <v>120000</v>
          </cell>
        </row>
        <row r="10">
          <cell r="C10">
            <v>10</v>
          </cell>
          <cell r="D10">
            <v>360000</v>
          </cell>
        </row>
        <row r="11">
          <cell r="C11">
            <v>30</v>
          </cell>
          <cell r="D11">
            <v>36000</v>
          </cell>
        </row>
        <row r="13">
          <cell r="C13">
            <v>5</v>
          </cell>
          <cell r="D13">
            <v>300000</v>
          </cell>
        </row>
        <row r="14">
          <cell r="C14">
            <v>5</v>
          </cell>
          <cell r="D14">
            <v>460000</v>
          </cell>
        </row>
        <row r="15">
          <cell r="D15">
            <v>800000</v>
          </cell>
        </row>
        <row r="17">
          <cell r="C17">
            <v>1</v>
          </cell>
          <cell r="D17">
            <v>480000</v>
          </cell>
        </row>
        <row r="18">
          <cell r="C18">
            <v>1</v>
          </cell>
          <cell r="D18">
            <v>600000</v>
          </cell>
        </row>
        <row r="21">
          <cell r="D21">
            <v>170000</v>
          </cell>
        </row>
        <row r="22">
          <cell r="D22">
            <v>70000</v>
          </cell>
        </row>
        <row r="24">
          <cell r="D24">
            <v>2400000</v>
          </cell>
        </row>
        <row r="34">
          <cell r="E34">
            <v>898000</v>
          </cell>
        </row>
        <row r="39">
          <cell r="E39">
            <v>900000</v>
          </cell>
        </row>
        <row r="43">
          <cell r="E43">
            <v>1080000</v>
          </cell>
        </row>
        <row r="45">
          <cell r="E45">
            <v>600000</v>
          </cell>
        </row>
        <row r="53">
          <cell r="E53">
            <v>1018000</v>
          </cell>
        </row>
        <row r="58">
          <cell r="E58">
            <v>900000</v>
          </cell>
        </row>
        <row r="62">
          <cell r="E62">
            <v>1080000</v>
          </cell>
        </row>
        <row r="64">
          <cell r="E64">
            <v>600000</v>
          </cell>
        </row>
        <row r="72">
          <cell r="E72">
            <v>1738000</v>
          </cell>
        </row>
        <row r="77">
          <cell r="E77">
            <v>1220000</v>
          </cell>
        </row>
        <row r="81">
          <cell r="E81">
            <v>1080000</v>
          </cell>
        </row>
        <row r="83">
          <cell r="E83">
            <v>600000</v>
          </cell>
        </row>
        <row r="86">
          <cell r="D86">
            <v>170000</v>
          </cell>
        </row>
        <row r="87">
          <cell r="D87">
            <v>70000</v>
          </cell>
        </row>
        <row r="89">
          <cell r="D89">
            <v>2400000</v>
          </cell>
        </row>
        <row r="92">
          <cell r="C92">
            <v>19396</v>
          </cell>
        </row>
        <row r="93">
          <cell r="C93">
            <v>3410</v>
          </cell>
        </row>
        <row r="94">
          <cell r="C94">
            <v>2078</v>
          </cell>
        </row>
        <row r="95">
          <cell r="C95">
            <v>1385</v>
          </cell>
        </row>
        <row r="96">
          <cell r="C96">
            <v>1385</v>
          </cell>
        </row>
        <row r="97">
          <cell r="C97">
            <v>1385</v>
          </cell>
        </row>
        <row r="99">
          <cell r="C99">
            <v>43321</v>
          </cell>
        </row>
        <row r="100">
          <cell r="C100">
            <v>53445</v>
          </cell>
        </row>
        <row r="102">
          <cell r="C102">
            <v>1170</v>
          </cell>
        </row>
        <row r="103">
          <cell r="C103">
            <v>1560</v>
          </cell>
        </row>
        <row r="113">
          <cell r="C113">
            <v>530000</v>
          </cell>
        </row>
        <row r="115">
          <cell r="C115">
            <v>2400000</v>
          </cell>
        </row>
        <row r="124">
          <cell r="D124">
            <v>15960000</v>
          </cell>
        </row>
        <row r="129">
          <cell r="C129">
            <v>50000</v>
          </cell>
        </row>
        <row r="136">
          <cell r="C136">
            <v>240000</v>
          </cell>
        </row>
        <row r="138">
          <cell r="C138">
            <v>2400000</v>
          </cell>
        </row>
        <row r="140">
          <cell r="C140">
            <v>4088460</v>
          </cell>
        </row>
        <row r="141">
          <cell r="C141">
            <v>1226538</v>
          </cell>
        </row>
        <row r="142">
          <cell r="C142">
            <v>1022115</v>
          </cell>
        </row>
        <row r="143">
          <cell r="C143">
            <v>10</v>
          </cell>
        </row>
        <row r="149">
          <cell r="D149">
            <v>170000</v>
          </cell>
        </row>
        <row r="150">
          <cell r="D150">
            <v>70000</v>
          </cell>
        </row>
        <row r="152">
          <cell r="D152">
            <v>2400000</v>
          </cell>
        </row>
        <row r="154">
          <cell r="D154">
            <v>50000000</v>
          </cell>
        </row>
        <row r="155">
          <cell r="D155">
            <v>50000000</v>
          </cell>
        </row>
        <row r="156">
          <cell r="D156">
            <v>50000000</v>
          </cell>
        </row>
        <row r="160">
          <cell r="C160">
            <v>1</v>
          </cell>
          <cell r="D160">
            <v>1226538</v>
          </cell>
        </row>
        <row r="161">
          <cell r="D161">
            <v>1022115000</v>
          </cell>
        </row>
        <row r="163">
          <cell r="D163">
            <v>1110965000</v>
          </cell>
        </row>
        <row r="164">
          <cell r="C164">
            <v>111</v>
          </cell>
        </row>
        <row r="165">
          <cell r="C165">
            <v>7</v>
          </cell>
        </row>
        <row r="166">
          <cell r="C166">
            <v>7</v>
          </cell>
        </row>
      </sheetData>
      <sheetData sheetId="7">
        <row r="7">
          <cell r="D7">
            <v>2010</v>
          </cell>
          <cell r="E7">
            <v>2011</v>
          </cell>
          <cell r="F7">
            <v>2012</v>
          </cell>
          <cell r="G7">
            <v>2013</v>
          </cell>
          <cell r="H7">
            <v>2014</v>
          </cell>
          <cell r="I7">
            <v>2015</v>
          </cell>
          <cell r="J7">
            <v>2016</v>
          </cell>
          <cell r="K7">
            <v>2017</v>
          </cell>
          <cell r="L7">
            <v>2018</v>
          </cell>
          <cell r="M7">
            <v>2019</v>
          </cell>
        </row>
        <row r="11">
          <cell r="C11">
            <v>2009</v>
          </cell>
        </row>
        <row r="13">
          <cell r="C13">
            <v>2044.23</v>
          </cell>
        </row>
        <row r="146">
          <cell r="C146">
            <v>882045</v>
          </cell>
        </row>
        <row r="147">
          <cell r="C147">
            <v>0.1</v>
          </cell>
        </row>
        <row r="148">
          <cell r="C148">
            <v>0.2</v>
          </cell>
        </row>
        <row r="149">
          <cell r="C149">
            <v>0.2</v>
          </cell>
        </row>
        <row r="150">
          <cell r="C150">
            <v>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.7109375" style="1" customWidth="1"/>
    <col min="2" max="2" width="56.57421875" style="1" bestFit="1" customWidth="1"/>
    <col min="3" max="16384" width="11.421875" style="1" customWidth="1"/>
  </cols>
  <sheetData>
    <row r="1" spans="1:2" s="6" customFormat="1" ht="4.5" customHeight="1">
      <c r="A1" s="8"/>
      <c r="B1" s="8"/>
    </row>
    <row r="2" spans="1:13" s="6" customFormat="1" ht="15.75">
      <c r="A2" s="8"/>
      <c r="B2" s="19" t="s">
        <v>12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6" customFormat="1" ht="15.75">
      <c r="A3" s="8"/>
      <c r="B3" s="18" t="s">
        <v>11</v>
      </c>
      <c r="C3" s="14"/>
      <c r="D3" s="14"/>
      <c r="E3" s="16"/>
      <c r="F3" s="16"/>
      <c r="G3" s="16"/>
      <c r="H3" s="17"/>
      <c r="I3" s="16"/>
      <c r="J3" s="16"/>
      <c r="K3" s="16"/>
      <c r="L3" s="16"/>
      <c r="M3" s="16"/>
    </row>
    <row r="4" spans="1:13" s="6" customFormat="1" ht="4.5" customHeight="1">
      <c r="A4" s="8"/>
      <c r="B4" s="15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s="6" customFormat="1" ht="15.75">
      <c r="A5" s="8"/>
      <c r="B5" s="19" t="s">
        <v>10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s="6" customFormat="1" ht="15.75">
      <c r="A6" s="8"/>
      <c r="B6" s="18" t="str">
        <f>IF('[1]Tablero de Control'!$B$7='[1]Tablero de Control'!$S$7,'[1]Tablero de Control'!$S$7,IF('[1]Tablero de Control'!$B$7='[1]Tablero de Control'!$S$8,'[1]Tablero de Control'!$S$8,IF('[1]Tablero de Control'!$B$7='[1]Tablero de Control'!$S$9,'[1]Tablero de Control'!$S$9,0)))</f>
        <v>Masivo Puro</v>
      </c>
      <c r="C6" s="14"/>
      <c r="D6" s="14"/>
      <c r="E6" s="16"/>
      <c r="F6" s="16"/>
      <c r="G6" s="16"/>
      <c r="H6" s="17"/>
      <c r="I6" s="16"/>
      <c r="J6" s="16"/>
      <c r="K6" s="16"/>
      <c r="L6" s="16"/>
      <c r="M6" s="16"/>
    </row>
    <row r="7" spans="1:13" s="6" customFormat="1" ht="4.5" customHeight="1">
      <c r="A7" s="8"/>
      <c r="B7" s="15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s="6" customFormat="1" ht="15.75">
      <c r="A8" s="8"/>
      <c r="B8" s="13" t="s">
        <v>9</v>
      </c>
      <c r="C8" s="12">
        <f>+'[1]Financieros'!C11</f>
        <v>2009</v>
      </c>
      <c r="D8" s="12">
        <f>+'[1]Financieros'!D7</f>
        <v>2010</v>
      </c>
      <c r="E8" s="12">
        <f>+'[1]Financieros'!E7</f>
        <v>2011</v>
      </c>
      <c r="F8" s="12">
        <f>+'[1]Financieros'!F7</f>
        <v>2012</v>
      </c>
      <c r="G8" s="12">
        <f>+'[1]Financieros'!G7</f>
        <v>2013</v>
      </c>
      <c r="H8" s="12">
        <f>+'[1]Financieros'!H7</f>
        <v>2014</v>
      </c>
      <c r="I8" s="12">
        <f>+'[1]Financieros'!I7</f>
        <v>2015</v>
      </c>
      <c r="J8" s="12">
        <f>+'[1]Financieros'!J7</f>
        <v>2016</v>
      </c>
      <c r="K8" s="12">
        <f>+'[1]Financieros'!K7</f>
        <v>2017</v>
      </c>
      <c r="L8" s="12">
        <f>+'[1]Financieros'!L7</f>
        <v>2018</v>
      </c>
      <c r="M8" s="12">
        <f>+'[1]Financieros'!M7</f>
        <v>2019</v>
      </c>
    </row>
    <row r="9" spans="1:2" s="6" customFormat="1" ht="15.75">
      <c r="A9" s="8"/>
      <c r="B9" s="7" t="s">
        <v>8</v>
      </c>
    </row>
    <row r="10" spans="1:13" s="6" customFormat="1" ht="15.75">
      <c r="A10" s="8"/>
      <c r="B10" s="5" t="str">
        <f>IF('[1]Tablero de Control'!$B$10='[1]Tablero de Control'!$S$12,'[1]Tablero de Control'!$S$12,IF('[1]Tablero de Control'!$B$10='[1]Tablero de Control'!$S$13,'[1]Tablero de Control'!$S$13,IF('[1]Tablero de Control'!$B$10='[1]Tablero de Control'!$S$14,'[1]Tablero de Control'!$S$14,0)))</f>
        <v>Escenario Básico</v>
      </c>
      <c r="C10" s="98">
        <f aca="true" t="shared" si="0" ref="C10:M10">+SUM(C11:C12)</f>
        <v>511.73188999999996</v>
      </c>
      <c r="D10" s="98">
        <f t="shared" si="0"/>
        <v>540.6442830937833</v>
      </c>
      <c r="E10" s="98">
        <f t="shared" si="0"/>
        <v>571.2196531390291</v>
      </c>
      <c r="F10" s="98">
        <f t="shared" si="0"/>
        <v>603.5549033255088</v>
      </c>
      <c r="G10" s="98">
        <f t="shared" si="0"/>
        <v>637.7526358030022</v>
      </c>
      <c r="H10" s="98">
        <f t="shared" si="0"/>
        <v>673.921489</v>
      </c>
      <c r="I10" s="98">
        <f t="shared" si="0"/>
        <v>712.1764945877743</v>
      </c>
      <c r="J10" s="98">
        <f t="shared" si="0"/>
        <v>752.6394572843162</v>
      </c>
      <c r="K10" s="98">
        <f t="shared" si="0"/>
        <v>795.4393548526211</v>
      </c>
      <c r="L10" s="98">
        <f t="shared" si="0"/>
        <v>840.7127634678703</v>
      </c>
      <c r="M10" s="98">
        <f t="shared" si="0"/>
        <v>888.604308</v>
      </c>
    </row>
    <row r="11" spans="2:13" ht="15.75">
      <c r="B11" s="3" t="s">
        <v>0</v>
      </c>
      <c r="C11" s="97">
        <f>IF('[1]Tablero de Control'!$B$10='[1]Tablero de Control'!$S$12,'[1]Mercado'!C9,IF('[1]Tablero de Control'!$B$10='[1]Tablero de Control'!$S$13,'[1]Mercado'!C16,IF('[1]Tablero de Control'!$B$10='[1]Tablero de Control'!$S$14,'[1]Mercado'!C23,IF('[1]Tablero de Control'!$B$10='[1]Tablero de Control'!$S$15,'[1]Mercado'!C30,0))))</f>
        <v>421.803121</v>
      </c>
      <c r="D11" s="97">
        <f>IF('[1]Tablero de Control'!$B$10='[1]Tablero de Control'!$S$12,'[1]Mercado'!D9,IF('[1]Tablero de Control'!$B$10='[1]Tablero de Control'!$S$13,'[1]Mercado'!D16,IF('[1]Tablero de Control'!$B$10='[1]Tablero de Control'!$S$14,'[1]Mercado'!D23,IF('[1]Tablero de Control'!$B$10='[1]Tablero de Control'!$S$15,'[1]Mercado'!D30,0))))</f>
        <v>447.111308381395</v>
      </c>
      <c r="E11" s="97">
        <f>IF('[1]Tablero de Control'!$B$10='[1]Tablero de Control'!$S$12,'[1]Mercado'!E9,IF('[1]Tablero de Control'!$B$10='[1]Tablero de Control'!$S$13,'[1]Mercado'!E16,IF('[1]Tablero de Control'!$B$10='[1]Tablero de Control'!$S$14,'[1]Mercado'!E23,IF('[1]Tablero de Control'!$B$10='[1]Tablero de Control'!$S$15,'[1]Mercado'!E30,0))))</f>
        <v>473.9379870129575</v>
      </c>
      <c r="F11" s="97">
        <f>IF('[1]Tablero de Control'!$B$10='[1]Tablero de Control'!$S$12,'[1]Mercado'!F9,IF('[1]Tablero de Control'!$B$10='[1]Tablero de Control'!$S$13,'[1]Mercado'!F16,IF('[1]Tablero de Control'!$B$10='[1]Tablero de Control'!$S$14,'[1]Mercado'!F23,IF('[1]Tablero de Control'!$B$10='[1]Tablero de Control'!$S$15,'[1]Mercado'!F30,0))))</f>
        <v>502.3742663701344</v>
      </c>
      <c r="G11" s="97">
        <f>IF('[1]Tablero de Control'!$B$10='[1]Tablero de Control'!$S$12,'[1]Mercado'!G9,IF('[1]Tablero de Control'!$B$10='[1]Tablero de Control'!$S$13,'[1]Mercado'!G16,IF('[1]Tablero de Control'!$B$10='[1]Tablero de Control'!$S$14,'[1]Mercado'!G23,IF('[1]Tablero de Control'!$B$10='[1]Tablero de Control'!$S$15,'[1]Mercado'!G30,0))))</f>
        <v>532.5167224969259</v>
      </c>
      <c r="H11" s="97">
        <f>IF('[1]Tablero de Control'!$B$10='[1]Tablero de Control'!$S$12,'[1]Mercado'!H9,IF('[1]Tablero de Control'!$B$10='[1]Tablero de Control'!$S$13,'[1]Mercado'!H16,IF('[1]Tablero de Control'!$B$10='[1]Tablero de Control'!$S$14,'[1]Mercado'!H23,IF('[1]Tablero de Control'!$B$10='[1]Tablero de Control'!$S$15,'[1]Mercado'!H30,0))))</f>
        <v>564.467726</v>
      </c>
      <c r="I11" s="97">
        <f>IF('[1]Tablero de Control'!$B$10='[1]Tablero de Control'!$S$12,'[1]Mercado'!I9,IF('[1]Tablero de Control'!$B$10='[1]Tablero de Control'!$S$13,'[1]Mercado'!I16,IF('[1]Tablero de Control'!$B$10='[1]Tablero de Control'!$S$14,'[1]Mercado'!I23,IF('[1]Tablero de Control'!$B$10='[1]Tablero de Control'!$S$15,'[1]Mercado'!I30,0))))</f>
        <v>598.3357894549829</v>
      </c>
      <c r="J11" s="97">
        <f>IF('[1]Tablero de Control'!$B$10='[1]Tablero de Control'!$S$12,'[1]Mercado'!J9,IF('[1]Tablero de Control'!$B$10='[1]Tablero de Control'!$S$13,'[1]Mercado'!J16,IF('[1]Tablero de Control'!$B$10='[1]Tablero de Control'!$S$14,'[1]Mercado'!J23,IF('[1]Tablero de Control'!$B$10='[1]Tablero de Control'!$S$15,'[1]Mercado'!J30,0))))</f>
        <v>634.2359367109638</v>
      </c>
      <c r="K11" s="97">
        <f>IF('[1]Tablero de Control'!$B$10='[1]Tablero de Control'!$S$12,'[1]Mercado'!K9,IF('[1]Tablero de Control'!$B$10='[1]Tablero de Control'!$S$13,'[1]Mercado'!K16,IF('[1]Tablero de Control'!$B$10='[1]Tablero de Control'!$S$14,'[1]Mercado'!K23,IF('[1]Tablero de Control'!$B$10='[1]Tablero de Control'!$S$15,'[1]Mercado'!K30,0))))</f>
        <v>672.2900927956243</v>
      </c>
      <c r="L11" s="97">
        <f>IF('[1]Tablero de Control'!$B$10='[1]Tablero de Control'!$S$12,'[1]Mercado'!L9,IF('[1]Tablero de Control'!$B$10='[1]Tablero de Control'!$S$13,'[1]Mercado'!L16,IF('[1]Tablero de Control'!$B$10='[1]Tablero de Control'!$S$14,'[1]Mercado'!L23,IF('[1]Tablero de Control'!$B$10='[1]Tablero de Control'!$S$15,'[1]Mercado'!L30,0))))</f>
        <v>712.6274982382847</v>
      </c>
      <c r="M11" s="97">
        <f>IF('[1]Tablero de Control'!$B$10='[1]Tablero de Control'!$S$12,'[1]Mercado'!M9,IF('[1]Tablero de Control'!$B$10='[1]Tablero de Control'!$S$13,'[1]Mercado'!M16,IF('[1]Tablero de Control'!$B$10='[1]Tablero de Control'!$S$14,'[1]Mercado'!M23,IF('[1]Tablero de Control'!$B$10='[1]Tablero de Control'!$S$15,'[1]Mercado'!M30,0))))</f>
        <v>755.385148</v>
      </c>
    </row>
    <row r="12" spans="2:13" ht="15.75">
      <c r="B12" s="3" t="s">
        <v>178</v>
      </c>
      <c r="C12" s="97">
        <f>IF('[1]Tablero de Control'!$B$10='[1]Tablero de Control'!$S$12,'[1]Mercado'!C10,IF('[1]Tablero de Control'!$B$10='[1]Tablero de Control'!$S$13,'[1]Mercado'!C17,IF('[1]Tablero de Control'!$B$10='[1]Tablero de Control'!$S$14,'[1]Mercado'!C24,IF('[1]Tablero de Control'!$B$10='[1]Tablero de Control'!$S$15,'[1]Mercado'!C31,0))))</f>
        <v>89.928769</v>
      </c>
      <c r="D12" s="97">
        <f>IF('[1]Tablero de Control'!$B$10='[1]Tablero de Control'!$S$12,'[1]Mercado'!D10,IF('[1]Tablero de Control'!$B$10='[1]Tablero de Control'!$S$13,'[1]Mercado'!D17,IF('[1]Tablero de Control'!$B$10='[1]Tablero de Control'!$S$14,'[1]Mercado'!D24,IF('[1]Tablero de Control'!$B$10='[1]Tablero de Control'!$S$15,'[1]Mercado'!D31,0))))</f>
        <v>93.53297471238834</v>
      </c>
      <c r="E12" s="97">
        <f>IF('[1]Tablero de Control'!$B$10='[1]Tablero de Control'!$S$12,'[1]Mercado'!E10,IF('[1]Tablero de Control'!$B$10='[1]Tablero de Control'!$S$13,'[1]Mercado'!E17,IF('[1]Tablero de Control'!$B$10='[1]Tablero de Control'!$S$14,'[1]Mercado'!E24,IF('[1]Tablero de Control'!$B$10='[1]Tablero de Control'!$S$15,'[1]Mercado'!E31,0))))</f>
        <v>97.28166612607158</v>
      </c>
      <c r="F12" s="97">
        <f>IF('[1]Tablero de Control'!$B$10='[1]Tablero de Control'!$S$12,'[1]Mercado'!F10,IF('[1]Tablero de Control'!$B$10='[1]Tablero de Control'!$S$13,'[1]Mercado'!F17,IF('[1]Tablero de Control'!$B$10='[1]Tablero de Control'!$S$14,'[1]Mercado'!F24,IF('[1]Tablero de Control'!$B$10='[1]Tablero de Control'!$S$15,'[1]Mercado'!F31,0))))</f>
        <v>101.18063695537434</v>
      </c>
      <c r="G12" s="97">
        <f>IF('[1]Tablero de Control'!$B$10='[1]Tablero de Control'!$S$12,'[1]Mercado'!G10,IF('[1]Tablero de Control'!$B$10='[1]Tablero de Control'!$S$13,'[1]Mercado'!G17,IF('[1]Tablero de Control'!$B$10='[1]Tablero de Control'!$S$14,'[1]Mercado'!G24,IF('[1]Tablero de Control'!$B$10='[1]Tablero de Control'!$S$15,'[1]Mercado'!G31,0))))</f>
        <v>105.23591330607627</v>
      </c>
      <c r="H12" s="97">
        <f>IF('[1]Tablero de Control'!$B$10='[1]Tablero de Control'!$S$12,'[1]Mercado'!H10,IF('[1]Tablero de Control'!$B$10='[1]Tablero de Control'!$S$13,'[1]Mercado'!H17,IF('[1]Tablero de Control'!$B$10='[1]Tablero de Control'!$S$14,'[1]Mercado'!H24,IF('[1]Tablero de Control'!$B$10='[1]Tablero de Control'!$S$15,'[1]Mercado'!H31,0))))</f>
        <v>109.453763</v>
      </c>
      <c r="I12" s="97">
        <f>IF('[1]Tablero de Control'!$B$10='[1]Tablero de Control'!$S$12,'[1]Mercado'!I10,IF('[1]Tablero de Control'!$B$10='[1]Tablero de Control'!$S$13,'[1]Mercado'!I17,IF('[1]Tablero de Control'!$B$10='[1]Tablero de Control'!$S$14,'[1]Mercado'!I24,IF('[1]Tablero de Control'!$B$10='[1]Tablero de Control'!$S$15,'[1]Mercado'!I31,0))))</f>
        <v>113.8407051327914</v>
      </c>
      <c r="J12" s="97">
        <f>IF('[1]Tablero de Control'!$B$10='[1]Tablero de Control'!$S$12,'[1]Mercado'!J10,IF('[1]Tablero de Control'!$B$10='[1]Tablero de Control'!$S$13,'[1]Mercado'!J17,IF('[1]Tablero de Control'!$B$10='[1]Tablero de Control'!$S$14,'[1]Mercado'!J24,IF('[1]Tablero de Control'!$B$10='[1]Tablero de Control'!$S$15,'[1]Mercado'!J31,0))))</f>
        <v>118.40352057335244</v>
      </c>
      <c r="K12" s="97">
        <f>IF('[1]Tablero de Control'!$B$10='[1]Tablero de Control'!$S$12,'[1]Mercado'!K10,IF('[1]Tablero de Control'!$B$10='[1]Tablero de Control'!$S$13,'[1]Mercado'!K17,IF('[1]Tablero de Control'!$B$10='[1]Tablero de Control'!$S$14,'[1]Mercado'!K24,IF('[1]Tablero de Control'!$B$10='[1]Tablero de Control'!$S$15,'[1]Mercado'!K31,0))))</f>
        <v>123.14926205699686</v>
      </c>
      <c r="L12" s="97">
        <f>IF('[1]Tablero de Control'!$B$10='[1]Tablero de Control'!$S$12,'[1]Mercado'!L10,IF('[1]Tablero de Control'!$B$10='[1]Tablero de Control'!$S$13,'[1]Mercado'!L17,IF('[1]Tablero de Control'!$B$10='[1]Tablero de Control'!$S$14,'[1]Mercado'!L24,IF('[1]Tablero de Control'!$B$10='[1]Tablero de Control'!$S$15,'[1]Mercado'!L31,0))))</f>
        <v>128.08526522958564</v>
      </c>
      <c r="M12" s="97">
        <f>IF('[1]Tablero de Control'!$B$10='[1]Tablero de Control'!$S$12,'[1]Mercado'!M10,IF('[1]Tablero de Control'!$B$10='[1]Tablero de Control'!$S$13,'[1]Mercado'!M17,IF('[1]Tablero de Control'!$B$10='[1]Tablero de Control'!$S$14,'[1]Mercado'!M24,IF('[1]Tablero de Control'!$B$10='[1]Tablero de Control'!$S$15,'[1]Mercado'!M31,0))))</f>
        <v>133.21916</v>
      </c>
    </row>
    <row r="13" spans="2:13" ht="15">
      <c r="B13" s="99"/>
      <c r="C13" s="100"/>
      <c r="D13" s="101"/>
      <c r="E13" s="101"/>
      <c r="F13" s="101"/>
      <c r="G13" s="101"/>
      <c r="H13" s="101"/>
      <c r="I13" s="101"/>
      <c r="J13" s="101"/>
      <c r="K13" s="101"/>
      <c r="L13" s="101"/>
      <c r="M13" s="101"/>
    </row>
    <row r="14" spans="2:13" ht="15">
      <c r="B14" s="99"/>
      <c r="C14" s="100"/>
      <c r="D14" s="101"/>
      <c r="E14" s="101"/>
      <c r="F14" s="101"/>
      <c r="G14" s="101"/>
      <c r="H14" s="101"/>
      <c r="I14" s="101"/>
      <c r="J14" s="101"/>
      <c r="K14" s="101"/>
      <c r="L14" s="101"/>
      <c r="M14" s="101"/>
    </row>
    <row r="15" spans="2:13" ht="15">
      <c r="B15" s="99"/>
      <c r="C15" s="100"/>
      <c r="D15" s="101"/>
      <c r="E15" s="101"/>
      <c r="F15" s="101"/>
      <c r="G15" s="101"/>
      <c r="H15" s="101"/>
      <c r="I15" s="101"/>
      <c r="J15" s="101"/>
      <c r="K15" s="101"/>
      <c r="L15" s="101"/>
      <c r="M15" s="101"/>
    </row>
    <row r="16" spans="1:2" s="6" customFormat="1" ht="15.75">
      <c r="A16" s="8"/>
      <c r="B16" s="7" t="s">
        <v>7</v>
      </c>
    </row>
    <row r="17" spans="2:14" ht="15.75">
      <c r="B17" s="5" t="s">
        <v>6</v>
      </c>
      <c r="C17" s="98">
        <f aca="true" t="shared" si="1" ref="C17:M17">+C18+C19</f>
        <v>109.3958695740322</v>
      </c>
      <c r="D17" s="98">
        <f t="shared" si="1"/>
        <v>115.95428674420417</v>
      </c>
      <c r="E17" s="98">
        <f t="shared" si="1"/>
        <v>122.90599522990553</v>
      </c>
      <c r="F17" s="98">
        <f t="shared" si="1"/>
        <v>130.27458394733728</v>
      </c>
      <c r="G17" s="98">
        <f t="shared" si="1"/>
        <v>138.0850568045273</v>
      </c>
      <c r="H17" s="98">
        <f t="shared" si="1"/>
        <v>146.36391758708578</v>
      </c>
      <c r="I17" s="98">
        <f t="shared" si="1"/>
        <v>155.13925986693425</v>
      </c>
      <c r="J17" s="98">
        <f t="shared" si="1"/>
        <v>164.44086257930175</v>
      </c>
      <c r="K17" s="98">
        <f t="shared" si="1"/>
        <v>174.30029092826376</v>
      </c>
      <c r="L17" s="98">
        <f t="shared" si="1"/>
        <v>184.7510036124682</v>
      </c>
      <c r="M17" s="98">
        <f t="shared" si="1"/>
        <v>195.82846641806674</v>
      </c>
      <c r="N17" s="6"/>
    </row>
    <row r="18" spans="2:13" ht="15.75">
      <c r="B18" s="3" t="s">
        <v>0</v>
      </c>
      <c r="C18" s="97">
        <f aca="true" t="shared" si="2" ref="C18:M18">+C24+C30+C36</f>
        <v>109.12806732985246</v>
      </c>
      <c r="D18" s="97">
        <f t="shared" si="2"/>
        <v>115.67575140105069</v>
      </c>
      <c r="E18" s="97">
        <f t="shared" si="2"/>
        <v>122.61629651840524</v>
      </c>
      <c r="F18" s="97">
        <f t="shared" si="2"/>
        <v>129.97327434479857</v>
      </c>
      <c r="G18" s="97">
        <f t="shared" si="2"/>
        <v>137.7716708428928</v>
      </c>
      <c r="H18" s="97">
        <f t="shared" si="2"/>
        <v>146.0379711331171</v>
      </c>
      <c r="I18" s="97">
        <f t="shared" si="2"/>
        <v>154.80024937393432</v>
      </c>
      <c r="J18" s="97">
        <f t="shared" si="2"/>
        <v>164.0882643075704</v>
      </c>
      <c r="K18" s="97">
        <f t="shared" si="2"/>
        <v>173.9335601354966</v>
      </c>
      <c r="L18" s="97">
        <f t="shared" si="2"/>
        <v>184.3695737112667</v>
      </c>
      <c r="M18" s="97">
        <f t="shared" si="2"/>
        <v>195.4317480996414</v>
      </c>
    </row>
    <row r="19" spans="2:13" ht="15.75">
      <c r="B19" s="3" t="s">
        <v>178</v>
      </c>
      <c r="C19" s="97">
        <f aca="true" t="shared" si="3" ref="C19:M19">+C25+C31+C37</f>
        <v>0.26780224417975096</v>
      </c>
      <c r="D19" s="97">
        <f t="shared" si="3"/>
        <v>0.2785353431534851</v>
      </c>
      <c r="E19" s="97">
        <f t="shared" si="3"/>
        <v>0.2896987115002901</v>
      </c>
      <c r="F19" s="97">
        <f t="shared" si="3"/>
        <v>0.30130960253871475</v>
      </c>
      <c r="G19" s="97">
        <f t="shared" si="3"/>
        <v>0.31338596163451254</v>
      </c>
      <c r="H19" s="97">
        <f t="shared" si="3"/>
        <v>0.3259464539686804</v>
      </c>
      <c r="I19" s="97">
        <f t="shared" si="3"/>
        <v>0.3390104929999301</v>
      </c>
      <c r="J19" s="97">
        <f t="shared" si="3"/>
        <v>0.3525982717313421</v>
      </c>
      <c r="K19" s="97">
        <f t="shared" si="3"/>
        <v>0.3667307927671512</v>
      </c>
      <c r="L19" s="97">
        <f t="shared" si="3"/>
        <v>0.3814299012014905</v>
      </c>
      <c r="M19" s="97">
        <f t="shared" si="3"/>
        <v>0.39671831842534516</v>
      </c>
    </row>
    <row r="20" spans="2:13" ht="15">
      <c r="B20" s="99"/>
      <c r="C20" s="100"/>
      <c r="D20" s="101"/>
      <c r="E20" s="101"/>
      <c r="F20" s="101"/>
      <c r="G20" s="101"/>
      <c r="H20" s="101"/>
      <c r="I20" s="101"/>
      <c r="J20" s="101"/>
      <c r="K20" s="101"/>
      <c r="L20" s="101"/>
      <c r="M20" s="101"/>
    </row>
    <row r="21" spans="2:13" ht="15">
      <c r="B21" s="99"/>
      <c r="C21" s="100"/>
      <c r="D21" s="101"/>
      <c r="E21" s="101"/>
      <c r="F21" s="101"/>
      <c r="G21" s="101"/>
      <c r="H21" s="101"/>
      <c r="I21" s="101"/>
      <c r="J21" s="101"/>
      <c r="K21" s="101"/>
      <c r="L21" s="101"/>
      <c r="M21" s="101"/>
    </row>
    <row r="22" spans="2:13" ht="15">
      <c r="B22" s="99"/>
      <c r="C22" s="100"/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3" ht="15">
      <c r="B23" s="11" t="s">
        <v>5</v>
      </c>
    </row>
    <row r="24" spans="2:13" ht="15.75">
      <c r="B24" s="3" t="s">
        <v>0</v>
      </c>
      <c r="C24" s="97">
        <f>IF('[1]Tablero de Control'!$B$7='[1]Tablero de Control'!$S$7,C11*'[1]Mercado'!$C$42,IF('[1]Tablero de Control'!$B$7='[1]Tablero de Control'!$S$8,C11*'[1]Mercado'!$C$43,IF('[1]Tablero de Control'!$B$7='[1]Tablero de Control'!$S$9,C11*'[1]Mercado'!$C$44,0)))</f>
        <v>109.12806732985246</v>
      </c>
      <c r="D24" s="97">
        <f>IF('[1]Tablero de Control'!$B$7='[1]Tablero de Control'!$S$7,D11*'[1]Mercado'!$C$42,IF('[1]Tablero de Control'!$B$7='[1]Tablero de Control'!$S$8,D11*'[1]Mercado'!$C$43,IF('[1]Tablero de Control'!$B$7='[1]Tablero de Control'!$S$9,D11*'[1]Mercado'!$C$44,0)))</f>
        <v>115.67575140105069</v>
      </c>
      <c r="E24" s="97">
        <f>IF('[1]Tablero de Control'!$B$7='[1]Tablero de Control'!$S$7,E11*'[1]Mercado'!$C$42,IF('[1]Tablero de Control'!$B$7='[1]Tablero de Control'!$S$8,E11*'[1]Mercado'!$C$43,IF('[1]Tablero de Control'!$B$7='[1]Tablero de Control'!$S$9,E11*'[1]Mercado'!$C$44,0)))</f>
        <v>122.61629651840524</v>
      </c>
      <c r="F24" s="97">
        <f>IF('[1]Tablero de Control'!$B$7='[1]Tablero de Control'!$S$7,F11*'[1]Mercado'!$C$42,IF('[1]Tablero de Control'!$B$7='[1]Tablero de Control'!$S$8,F11*'[1]Mercado'!$C$43,IF('[1]Tablero de Control'!$B$7='[1]Tablero de Control'!$S$9,F11*'[1]Mercado'!$C$44,0)))</f>
        <v>129.97327434479857</v>
      </c>
      <c r="G24" s="97">
        <f>IF('[1]Tablero de Control'!$B$7='[1]Tablero de Control'!$S$7,G11*'[1]Mercado'!$C$42,IF('[1]Tablero de Control'!$B$7='[1]Tablero de Control'!$S$8,G11*'[1]Mercado'!$C$43,IF('[1]Tablero de Control'!$B$7='[1]Tablero de Control'!$S$9,G11*'[1]Mercado'!$C$44,0)))</f>
        <v>137.7716708428928</v>
      </c>
      <c r="H24" s="97">
        <f>IF('[1]Tablero de Control'!$B$7='[1]Tablero de Control'!$S$7,H11*'[1]Mercado'!$C$42,IF('[1]Tablero de Control'!$B$7='[1]Tablero de Control'!$S$8,H11*'[1]Mercado'!$C$43,IF('[1]Tablero de Control'!$B$7='[1]Tablero de Control'!$S$9,H11*'[1]Mercado'!$C$44,0)))</f>
        <v>146.0379711331171</v>
      </c>
      <c r="I24" s="97">
        <f>IF('[1]Tablero de Control'!$B$7='[1]Tablero de Control'!$S$7,I11*'[1]Mercado'!$C$42,IF('[1]Tablero de Control'!$B$7='[1]Tablero de Control'!$S$8,I11*'[1]Mercado'!$C$43,IF('[1]Tablero de Control'!$B$7='[1]Tablero de Control'!$S$9,I11*'[1]Mercado'!$C$44,0)))</f>
        <v>154.80024937393432</v>
      </c>
      <c r="J24" s="97">
        <f>IF('[1]Tablero de Control'!$B$7='[1]Tablero de Control'!$S$7,J11*'[1]Mercado'!$C$42,IF('[1]Tablero de Control'!$B$7='[1]Tablero de Control'!$S$8,J11*'[1]Mercado'!$C$43,IF('[1]Tablero de Control'!$B$7='[1]Tablero de Control'!$S$9,J11*'[1]Mercado'!$C$44,0)))</f>
        <v>164.0882643075704</v>
      </c>
      <c r="K24" s="97">
        <f>IF('[1]Tablero de Control'!$B$7='[1]Tablero de Control'!$S$7,K11*'[1]Mercado'!$C$42,IF('[1]Tablero de Control'!$B$7='[1]Tablero de Control'!$S$8,K11*'[1]Mercado'!$C$43,IF('[1]Tablero de Control'!$B$7='[1]Tablero de Control'!$S$9,K11*'[1]Mercado'!$C$44,0)))</f>
        <v>173.9335601354966</v>
      </c>
      <c r="L24" s="97">
        <f>IF('[1]Tablero de Control'!$B$7='[1]Tablero de Control'!$S$7,L11*'[1]Mercado'!$C$42,IF('[1]Tablero de Control'!$B$7='[1]Tablero de Control'!$S$8,L11*'[1]Mercado'!$C$43,IF('[1]Tablero de Control'!$B$7='[1]Tablero de Control'!$S$9,L11*'[1]Mercado'!$C$44,0)))</f>
        <v>184.3695737112667</v>
      </c>
      <c r="M24" s="97">
        <f>IF('[1]Tablero de Control'!$B$7='[1]Tablero de Control'!$S$7,M11*'[1]Mercado'!$C$42,IF('[1]Tablero de Control'!$B$7='[1]Tablero de Control'!$S$8,M11*'[1]Mercado'!$C$43,IF('[1]Tablero de Control'!$B$7='[1]Tablero de Control'!$S$9,M11*'[1]Mercado'!$C$44,0)))</f>
        <v>195.4317480996414</v>
      </c>
    </row>
    <row r="25" spans="2:13" ht="15.75">
      <c r="B25" s="3" t="s">
        <v>178</v>
      </c>
      <c r="C25" s="97">
        <f>IF('[1]Tablero de Control'!$B$7='[1]Tablero de Control'!$S$7,C12*'[1]Mercado'!$D$42,IF('[1]Tablero de Control'!$B$7='[1]Tablero de Control'!$S$8,C12*'[1]Mercado'!$D$43,IF('[1]Tablero de Control'!$B$7='[1]Tablero de Control'!$S$9,C12*'[1]Mercado'!$D$44,0)))</f>
        <v>0.26780224417975096</v>
      </c>
      <c r="D25" s="97">
        <f>IF('[1]Tablero de Control'!$B$7='[1]Tablero de Control'!$S$7,D12*'[1]Mercado'!$D$42,IF('[1]Tablero de Control'!$B$7='[1]Tablero de Control'!$S$8,D12*'[1]Mercado'!$D$43,IF('[1]Tablero de Control'!$B$7='[1]Tablero de Control'!$S$9,D12*'[1]Mercado'!$D$44,0)))</f>
        <v>0.2785353431534851</v>
      </c>
      <c r="E25" s="97">
        <f>IF('[1]Tablero de Control'!$B$7='[1]Tablero de Control'!$S$7,E12*'[1]Mercado'!$D$42,IF('[1]Tablero de Control'!$B$7='[1]Tablero de Control'!$S$8,E12*'[1]Mercado'!$D$43,IF('[1]Tablero de Control'!$B$7='[1]Tablero de Control'!$S$9,E12*'[1]Mercado'!$D$44,0)))</f>
        <v>0.2896987115002901</v>
      </c>
      <c r="F25" s="97">
        <f>IF('[1]Tablero de Control'!$B$7='[1]Tablero de Control'!$S$7,F12*'[1]Mercado'!$D$42,IF('[1]Tablero de Control'!$B$7='[1]Tablero de Control'!$S$8,F12*'[1]Mercado'!$D$43,IF('[1]Tablero de Control'!$B$7='[1]Tablero de Control'!$S$9,F12*'[1]Mercado'!$D$44,0)))</f>
        <v>0.30130960253871475</v>
      </c>
      <c r="G25" s="97">
        <f>IF('[1]Tablero de Control'!$B$7='[1]Tablero de Control'!$S$7,G12*'[1]Mercado'!$D$42,IF('[1]Tablero de Control'!$B$7='[1]Tablero de Control'!$S$8,G12*'[1]Mercado'!$D$43,IF('[1]Tablero de Control'!$B$7='[1]Tablero de Control'!$S$9,G12*'[1]Mercado'!$D$44,0)))</f>
        <v>0.31338596163451254</v>
      </c>
      <c r="H25" s="97">
        <f>IF('[1]Tablero de Control'!$B$7='[1]Tablero de Control'!$S$7,H12*'[1]Mercado'!$D$42,IF('[1]Tablero de Control'!$B$7='[1]Tablero de Control'!$S$8,H12*'[1]Mercado'!$D$43,IF('[1]Tablero de Control'!$B$7='[1]Tablero de Control'!$S$9,H12*'[1]Mercado'!$D$44,0)))</f>
        <v>0.3259464539686804</v>
      </c>
      <c r="I25" s="97">
        <f>IF('[1]Tablero de Control'!$B$7='[1]Tablero de Control'!$S$7,I12*'[1]Mercado'!$D$42,IF('[1]Tablero de Control'!$B$7='[1]Tablero de Control'!$S$8,I12*'[1]Mercado'!$D$43,IF('[1]Tablero de Control'!$B$7='[1]Tablero de Control'!$S$9,I12*'[1]Mercado'!$D$44,0)))</f>
        <v>0.3390104929999301</v>
      </c>
      <c r="J25" s="97">
        <f>IF('[1]Tablero de Control'!$B$7='[1]Tablero de Control'!$S$7,J12*'[1]Mercado'!$D$42,IF('[1]Tablero de Control'!$B$7='[1]Tablero de Control'!$S$8,J12*'[1]Mercado'!$D$43,IF('[1]Tablero de Control'!$B$7='[1]Tablero de Control'!$S$9,J12*'[1]Mercado'!$D$44,0)))</f>
        <v>0.3525982717313421</v>
      </c>
      <c r="K25" s="97">
        <f>IF('[1]Tablero de Control'!$B$7='[1]Tablero de Control'!$S$7,K12*'[1]Mercado'!$D$42,IF('[1]Tablero de Control'!$B$7='[1]Tablero de Control'!$S$8,K12*'[1]Mercado'!$D$43,IF('[1]Tablero de Control'!$B$7='[1]Tablero de Control'!$S$9,K12*'[1]Mercado'!$D$44,0)))</f>
        <v>0.3667307927671512</v>
      </c>
      <c r="L25" s="97">
        <f>IF('[1]Tablero de Control'!$B$7='[1]Tablero de Control'!$S$7,L12*'[1]Mercado'!$D$42,IF('[1]Tablero de Control'!$B$7='[1]Tablero de Control'!$S$8,L12*'[1]Mercado'!$D$43,IF('[1]Tablero de Control'!$B$7='[1]Tablero de Control'!$S$9,L12*'[1]Mercado'!$D$44,0)))</f>
        <v>0.3814299012014905</v>
      </c>
      <c r="M25" s="97">
        <f>IF('[1]Tablero de Control'!$B$7='[1]Tablero de Control'!$S$7,M12*'[1]Mercado'!$D$42,IF('[1]Tablero de Control'!$B$7='[1]Tablero de Control'!$S$8,M12*'[1]Mercado'!$D$43,IF('[1]Tablero de Control'!$B$7='[1]Tablero de Control'!$S$9,M12*'[1]Mercado'!$D$44,0)))</f>
        <v>0.39671831842534516</v>
      </c>
    </row>
    <row r="26" spans="2:13" ht="15">
      <c r="B26" s="99"/>
      <c r="C26" s="100"/>
      <c r="D26" s="101"/>
      <c r="E26" s="101"/>
      <c r="F26" s="101"/>
      <c r="G26" s="101"/>
      <c r="H26" s="101"/>
      <c r="I26" s="101"/>
      <c r="J26" s="101"/>
      <c r="K26" s="101"/>
      <c r="L26" s="101"/>
      <c r="M26" s="101"/>
    </row>
    <row r="27" spans="2:13" ht="15">
      <c r="B27" s="99"/>
      <c r="C27" s="100"/>
      <c r="D27" s="101"/>
      <c r="E27" s="101"/>
      <c r="F27" s="101"/>
      <c r="G27" s="101"/>
      <c r="H27" s="101"/>
      <c r="I27" s="101"/>
      <c r="J27" s="101"/>
      <c r="K27" s="101"/>
      <c r="L27" s="101"/>
      <c r="M27" s="101"/>
    </row>
    <row r="28" spans="2:13" ht="15">
      <c r="B28" s="99"/>
      <c r="C28" s="100"/>
      <c r="D28" s="101"/>
      <c r="E28" s="101"/>
      <c r="F28" s="101"/>
      <c r="G28" s="101"/>
      <c r="H28" s="101"/>
      <c r="I28" s="101"/>
      <c r="J28" s="101"/>
      <c r="K28" s="101"/>
      <c r="L28" s="101"/>
      <c r="M28" s="101"/>
    </row>
    <row r="29" ht="15">
      <c r="B29" s="10" t="s">
        <v>4</v>
      </c>
    </row>
    <row r="30" spans="2:13" ht="15.75">
      <c r="B30" s="3" t="s">
        <v>0</v>
      </c>
      <c r="C30" s="9"/>
      <c r="D30" s="97">
        <f>IF('[1]Tablero de Control'!$B$13='[1]Tablero de Control'!$S$17,0,IF('[1]Tablero de Control'!$B$7='[1]Tablero de Control'!$S$7,D11*'[1]Mercado'!D47,IF('[1]Tablero de Control'!$B$7='[1]Tablero de Control'!$S$8,D11*'[1]Mercado'!D48,IF('[1]Tablero de Control'!$B$7='[1]Tablero de Control'!$S$9,D11*'[1]Mercado'!D49,0))))</f>
        <v>0</v>
      </c>
      <c r="E30" s="97">
        <f>IF('[1]Tablero de Control'!$B$13='[1]Tablero de Control'!$S$17,0,IF('[1]Tablero de Control'!$B$7='[1]Tablero de Control'!$S$7,E11*'[1]Mercado'!E47,IF('[1]Tablero de Control'!$B$7='[1]Tablero de Control'!$S$8,E11*'[1]Mercado'!E48,IF('[1]Tablero de Control'!$B$7='[1]Tablero de Control'!$S$9,E11*'[1]Mercado'!E49,0))))</f>
        <v>0</v>
      </c>
      <c r="F30" s="97">
        <f>IF('[1]Tablero de Control'!$B$13='[1]Tablero de Control'!$S$17,0,IF('[1]Tablero de Control'!$B$7='[1]Tablero de Control'!$S$7,F11*'[1]Mercado'!F47,IF('[1]Tablero de Control'!$B$7='[1]Tablero de Control'!$S$8,F11*'[1]Mercado'!F48,IF('[1]Tablero de Control'!$B$7='[1]Tablero de Control'!$S$9,F11*'[1]Mercado'!F49,0))))</f>
        <v>0</v>
      </c>
      <c r="G30" s="97">
        <f>IF('[1]Tablero de Control'!$B$13='[1]Tablero de Control'!$S$17,0,IF('[1]Tablero de Control'!$B$7='[1]Tablero de Control'!$S$7,G11*'[1]Mercado'!G47,IF('[1]Tablero de Control'!$B$7='[1]Tablero de Control'!$S$8,G11*'[1]Mercado'!G48,IF('[1]Tablero de Control'!$B$7='[1]Tablero de Control'!$S$9,G11*'[1]Mercado'!G49,0))))</f>
        <v>0</v>
      </c>
      <c r="H30" s="97">
        <f>IF('[1]Tablero de Control'!$B$13='[1]Tablero de Control'!$S$17,0,IF('[1]Tablero de Control'!$B$7='[1]Tablero de Control'!$S$7,H11*'[1]Mercado'!H47,IF('[1]Tablero de Control'!$B$7='[1]Tablero de Control'!$S$8,H11*'[1]Mercado'!H48,IF('[1]Tablero de Control'!$B$7='[1]Tablero de Control'!$S$9,H11*'[1]Mercado'!H49,0))))</f>
        <v>0</v>
      </c>
      <c r="I30" s="97">
        <f>IF('[1]Tablero de Control'!$B$13='[1]Tablero de Control'!$S$17,0,IF('[1]Tablero de Control'!$B$7='[1]Tablero de Control'!$S$7,I11*'[1]Mercado'!I47,IF('[1]Tablero de Control'!$B$7='[1]Tablero de Control'!$S$8,I11*'[1]Mercado'!I48,IF('[1]Tablero de Control'!$B$7='[1]Tablero de Control'!$S$9,I11*'[1]Mercado'!I49,0))))</f>
        <v>0</v>
      </c>
      <c r="J30" s="97">
        <f>IF('[1]Tablero de Control'!$B$13='[1]Tablero de Control'!$S$17,0,IF('[1]Tablero de Control'!$B$7='[1]Tablero de Control'!$S$7,J11*'[1]Mercado'!J47,IF('[1]Tablero de Control'!$B$7='[1]Tablero de Control'!$S$8,J11*'[1]Mercado'!J48,IF('[1]Tablero de Control'!$B$7='[1]Tablero de Control'!$S$9,J11*'[1]Mercado'!J49,0))))</f>
        <v>0</v>
      </c>
      <c r="K30" s="97">
        <f>IF('[1]Tablero de Control'!$B$13='[1]Tablero de Control'!$S$17,0,IF('[1]Tablero de Control'!$B$7='[1]Tablero de Control'!$S$7,K11*'[1]Mercado'!K47,IF('[1]Tablero de Control'!$B$7='[1]Tablero de Control'!$S$8,K11*'[1]Mercado'!K48,IF('[1]Tablero de Control'!$B$7='[1]Tablero de Control'!$S$9,K11*'[1]Mercado'!K49,0))))</f>
        <v>0</v>
      </c>
      <c r="L30" s="97">
        <f>IF('[1]Tablero de Control'!$B$13='[1]Tablero de Control'!$S$17,0,IF('[1]Tablero de Control'!$B$7='[1]Tablero de Control'!$S$7,L11*'[1]Mercado'!L47,IF('[1]Tablero de Control'!$B$7='[1]Tablero de Control'!$S$8,L11*'[1]Mercado'!L48,IF('[1]Tablero de Control'!$B$7='[1]Tablero de Control'!$S$9,L11*'[1]Mercado'!L49,0))))</f>
        <v>0</v>
      </c>
      <c r="M30" s="97">
        <f>IF('[1]Tablero de Control'!$B$13='[1]Tablero de Control'!$S$17,0,IF('[1]Tablero de Control'!$B$7='[1]Tablero de Control'!$S$7,M11*'[1]Mercado'!M47,IF('[1]Tablero de Control'!$B$7='[1]Tablero de Control'!$S$8,M11*'[1]Mercado'!M48,IF('[1]Tablero de Control'!$B$7='[1]Tablero de Control'!$S$9,M11*'[1]Mercado'!M49,0))))</f>
        <v>0</v>
      </c>
    </row>
    <row r="31" spans="2:13" ht="15.75">
      <c r="B31" s="3" t="s">
        <v>235</v>
      </c>
      <c r="C31" s="9"/>
      <c r="D31" s="97">
        <f>IF('[1]Tablero de Control'!$B$13='[1]Tablero de Control'!$S$17,0,IF('[1]Tablero de Control'!$B$7='[1]Tablero de Control'!$S$7,D12*'[1]Mercado'!D51,IF('[1]Tablero de Control'!$B$7='[1]Tablero de Control'!$S$8,D12*'[1]Mercado'!D52,IF('[1]Tablero de Control'!$B$7='[1]Tablero de Control'!$S$9,D12*'[1]Mercado'!D53,0))))</f>
        <v>0</v>
      </c>
      <c r="E31" s="97">
        <f>IF('[1]Tablero de Control'!$B$13='[1]Tablero de Control'!$S$17,0,IF('[1]Tablero de Control'!$B$7='[1]Tablero de Control'!$S$7,E12*'[1]Mercado'!E51,IF('[1]Tablero de Control'!$B$7='[1]Tablero de Control'!$S$8,E12*'[1]Mercado'!E52,IF('[1]Tablero de Control'!$B$7='[1]Tablero de Control'!$S$9,E12*'[1]Mercado'!E53,0))))</f>
        <v>0</v>
      </c>
      <c r="F31" s="97">
        <f>IF('[1]Tablero de Control'!$B$13='[1]Tablero de Control'!$S$17,0,IF('[1]Tablero de Control'!$B$7='[1]Tablero de Control'!$S$7,F12*'[1]Mercado'!F51,IF('[1]Tablero de Control'!$B$7='[1]Tablero de Control'!$S$8,F12*'[1]Mercado'!F52,IF('[1]Tablero de Control'!$B$7='[1]Tablero de Control'!$S$9,F12*'[1]Mercado'!F53,0))))</f>
        <v>0</v>
      </c>
      <c r="G31" s="97">
        <f>IF('[1]Tablero de Control'!$B$13='[1]Tablero de Control'!$S$17,0,IF('[1]Tablero de Control'!$B$7='[1]Tablero de Control'!$S$7,G12*'[1]Mercado'!G51,IF('[1]Tablero de Control'!$B$7='[1]Tablero de Control'!$S$8,G12*'[1]Mercado'!G52,IF('[1]Tablero de Control'!$B$7='[1]Tablero de Control'!$S$9,G12*'[1]Mercado'!G53,0))))</f>
        <v>0</v>
      </c>
      <c r="H31" s="97">
        <f>IF('[1]Tablero de Control'!$B$13='[1]Tablero de Control'!$S$17,0,IF('[1]Tablero de Control'!$B$7='[1]Tablero de Control'!$S$7,H12*'[1]Mercado'!H51,IF('[1]Tablero de Control'!$B$7='[1]Tablero de Control'!$S$8,H12*'[1]Mercado'!H52,IF('[1]Tablero de Control'!$B$7='[1]Tablero de Control'!$S$9,H12*'[1]Mercado'!H53,0))))</f>
        <v>0</v>
      </c>
      <c r="I31" s="97">
        <f>IF('[1]Tablero de Control'!$B$13='[1]Tablero de Control'!$S$17,0,IF('[1]Tablero de Control'!$B$7='[1]Tablero de Control'!$S$7,I12*'[1]Mercado'!I51,IF('[1]Tablero de Control'!$B$7='[1]Tablero de Control'!$S$8,I12*'[1]Mercado'!I52,IF('[1]Tablero de Control'!$B$7='[1]Tablero de Control'!$S$9,I12*'[1]Mercado'!I53,0))))</f>
        <v>0</v>
      </c>
      <c r="J31" s="97">
        <f>IF('[1]Tablero de Control'!$B$13='[1]Tablero de Control'!$S$17,0,IF('[1]Tablero de Control'!$B$7='[1]Tablero de Control'!$S$7,J12*'[1]Mercado'!J51,IF('[1]Tablero de Control'!$B$7='[1]Tablero de Control'!$S$8,J12*'[1]Mercado'!J52,IF('[1]Tablero de Control'!$B$7='[1]Tablero de Control'!$S$9,J12*'[1]Mercado'!J53,0))))</f>
        <v>0</v>
      </c>
      <c r="K31" s="97">
        <f>IF('[1]Tablero de Control'!$B$13='[1]Tablero de Control'!$S$17,0,IF('[1]Tablero de Control'!$B$7='[1]Tablero de Control'!$S$7,K12*'[1]Mercado'!K51,IF('[1]Tablero de Control'!$B$7='[1]Tablero de Control'!$S$8,K12*'[1]Mercado'!K52,IF('[1]Tablero de Control'!$B$7='[1]Tablero de Control'!$S$9,K12*'[1]Mercado'!K53,0))))</f>
        <v>0</v>
      </c>
      <c r="L31" s="97">
        <f>IF('[1]Tablero de Control'!$B$13='[1]Tablero de Control'!$S$17,0,IF('[1]Tablero de Control'!$B$7='[1]Tablero de Control'!$S$7,L12*'[1]Mercado'!L51,IF('[1]Tablero de Control'!$B$7='[1]Tablero de Control'!$S$8,L12*'[1]Mercado'!L52,IF('[1]Tablero de Control'!$B$7='[1]Tablero de Control'!$S$9,L12*'[1]Mercado'!L53,0))))</f>
        <v>0</v>
      </c>
      <c r="M31" s="97">
        <f>IF('[1]Tablero de Control'!$B$13='[1]Tablero de Control'!$S$17,0,IF('[1]Tablero de Control'!$B$7='[1]Tablero de Control'!$S$7,M12*'[1]Mercado'!M51,IF('[1]Tablero de Control'!$B$7='[1]Tablero de Control'!$S$8,M12*'[1]Mercado'!M52,IF('[1]Tablero de Control'!$B$7='[1]Tablero de Control'!$S$9,M12*'[1]Mercado'!M53,0))))</f>
        <v>0</v>
      </c>
    </row>
    <row r="32" spans="2:13" ht="15">
      <c r="B32" s="99"/>
      <c r="C32" s="100"/>
      <c r="D32" s="101"/>
      <c r="E32" s="101"/>
      <c r="F32" s="101"/>
      <c r="G32" s="101"/>
      <c r="H32" s="101"/>
      <c r="I32" s="101"/>
      <c r="J32" s="101"/>
      <c r="K32" s="101"/>
      <c r="L32" s="101"/>
      <c r="M32" s="101"/>
    </row>
    <row r="33" spans="2:13" ht="15">
      <c r="B33" s="99"/>
      <c r="C33" s="100"/>
      <c r="D33" s="101"/>
      <c r="E33" s="101"/>
      <c r="F33" s="101"/>
      <c r="G33" s="101"/>
      <c r="H33" s="101"/>
      <c r="I33" s="101"/>
      <c r="J33" s="101"/>
      <c r="K33" s="101"/>
      <c r="L33" s="101"/>
      <c r="M33" s="101"/>
    </row>
    <row r="34" spans="2:13" ht="15">
      <c r="B34" s="99"/>
      <c r="C34" s="100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ht="15">
      <c r="B35" s="10" t="s">
        <v>3</v>
      </c>
    </row>
    <row r="36" spans="2:13" ht="15.75">
      <c r="B36" s="3" t="s">
        <v>0</v>
      </c>
      <c r="C36" s="9"/>
      <c r="D36" s="97">
        <f>IF('[1]Tablero de Control'!$B$19='[1]Tablero de Control'!$S$26,0,IF('[1]Tablero de Control'!$B$19='[1]Tablero de Control'!$S$27,'[1]Mercado'!$C$36*'[1]Mercado'!$C$39*D24,0))</f>
        <v>0</v>
      </c>
      <c r="E36" s="97">
        <f>IF('[1]Tablero de Control'!$B$19='[1]Tablero de Control'!$S$26,0,IF('[1]Tablero de Control'!$B$19='[1]Tablero de Control'!$S$27,'[1]Mercado'!$C$36*'[1]Mercado'!$C$39*E24,0))</f>
        <v>0</v>
      </c>
      <c r="F36" s="97">
        <f>IF('[1]Tablero de Control'!$B$19='[1]Tablero de Control'!$S$26,0,IF('[1]Tablero de Control'!$B$19='[1]Tablero de Control'!$S$27,'[1]Mercado'!$C$36*'[1]Mercado'!$C$39*F24,0))</f>
        <v>0</v>
      </c>
      <c r="G36" s="97">
        <f>IF('[1]Tablero de Control'!$B$19='[1]Tablero de Control'!$S$26,0,IF('[1]Tablero de Control'!$B$19='[1]Tablero de Control'!$S$27,'[1]Mercado'!$C$36*'[1]Mercado'!$C$39*G24,0))</f>
        <v>0</v>
      </c>
      <c r="H36" s="97">
        <f>IF('[1]Tablero de Control'!$B$19='[1]Tablero de Control'!$S$26,0,IF('[1]Tablero de Control'!$B$19='[1]Tablero de Control'!$S$27,'[1]Mercado'!$C$36*'[1]Mercado'!$C$39*H24,0))</f>
        <v>0</v>
      </c>
      <c r="I36" s="97">
        <f>IF('[1]Tablero de Control'!$B$19='[1]Tablero de Control'!$S$26,0,IF('[1]Tablero de Control'!$B$19='[1]Tablero de Control'!$S$27,'[1]Mercado'!$C$36*'[1]Mercado'!$C$39*I24,0))</f>
        <v>0</v>
      </c>
      <c r="J36" s="97">
        <f>IF('[1]Tablero de Control'!$B$19='[1]Tablero de Control'!$S$26,0,IF('[1]Tablero de Control'!$B$19='[1]Tablero de Control'!$S$27,'[1]Mercado'!$C$36*'[1]Mercado'!$C$39*J24,0))</f>
        <v>0</v>
      </c>
      <c r="K36" s="97">
        <f>IF('[1]Tablero de Control'!$B$19='[1]Tablero de Control'!$S$26,0,IF('[1]Tablero de Control'!$B$19='[1]Tablero de Control'!$S$27,'[1]Mercado'!$C$36*'[1]Mercado'!$C$39*K24,0))</f>
        <v>0</v>
      </c>
      <c r="L36" s="97">
        <f>IF('[1]Tablero de Control'!$B$19='[1]Tablero de Control'!$S$26,0,IF('[1]Tablero de Control'!$B$19='[1]Tablero de Control'!$S$27,'[1]Mercado'!$C$36*'[1]Mercado'!$C$39*L24,0))</f>
        <v>0</v>
      </c>
      <c r="M36" s="97">
        <f>IF('[1]Tablero de Control'!$B$19='[1]Tablero de Control'!$S$26,0,IF('[1]Tablero de Control'!$B$19='[1]Tablero de Control'!$S$27,'[1]Mercado'!$C$36*'[1]Mercado'!$C$39*M24,0))</f>
        <v>0</v>
      </c>
    </row>
    <row r="37" spans="2:13" ht="15.75">
      <c r="B37" s="3" t="s">
        <v>235</v>
      </c>
      <c r="C37" s="9"/>
      <c r="D37" s="97">
        <f>IF('[1]Tablero de Control'!$B$19='[1]Tablero de Control'!$S$26,0,IF('[1]Tablero de Control'!$B$19='[1]Tablero de Control'!$S$27,'[1]Mercado'!$C$37*'[1]Mercado'!$C$40*D25,0))</f>
        <v>0</v>
      </c>
      <c r="E37" s="97">
        <f>IF('[1]Tablero de Control'!$B$19='[1]Tablero de Control'!$S$26,0,IF('[1]Tablero de Control'!$B$19='[1]Tablero de Control'!$S$27,'[1]Mercado'!$C$37*'[1]Mercado'!$C$40*E25,0))</f>
        <v>0</v>
      </c>
      <c r="F37" s="97">
        <f>IF('[1]Tablero de Control'!$B$19='[1]Tablero de Control'!$S$26,0,IF('[1]Tablero de Control'!$B$19='[1]Tablero de Control'!$S$27,'[1]Mercado'!$C$37*'[1]Mercado'!$C$40*F25,0))</f>
        <v>0</v>
      </c>
      <c r="G37" s="97">
        <f>IF('[1]Tablero de Control'!$B$19='[1]Tablero de Control'!$S$26,0,IF('[1]Tablero de Control'!$B$19='[1]Tablero de Control'!$S$27,'[1]Mercado'!$C$37*'[1]Mercado'!$C$40*G25,0))</f>
        <v>0</v>
      </c>
      <c r="H37" s="97">
        <f>IF('[1]Tablero de Control'!$B$19='[1]Tablero de Control'!$S$26,0,IF('[1]Tablero de Control'!$B$19='[1]Tablero de Control'!$S$27,'[1]Mercado'!$C$37*'[1]Mercado'!$C$40*H25,0))</f>
        <v>0</v>
      </c>
      <c r="I37" s="97">
        <f>IF('[1]Tablero de Control'!$B$19='[1]Tablero de Control'!$S$26,0,IF('[1]Tablero de Control'!$B$19='[1]Tablero de Control'!$S$27,'[1]Mercado'!$C$37*'[1]Mercado'!$C$40*I25,0))</f>
        <v>0</v>
      </c>
      <c r="J37" s="97">
        <f>IF('[1]Tablero de Control'!$B$19='[1]Tablero de Control'!$S$26,0,IF('[1]Tablero de Control'!$B$19='[1]Tablero de Control'!$S$27,'[1]Mercado'!$C$37*'[1]Mercado'!$C$40*J25,0))</f>
        <v>0</v>
      </c>
      <c r="K37" s="97">
        <f>IF('[1]Tablero de Control'!$B$19='[1]Tablero de Control'!$S$26,0,IF('[1]Tablero de Control'!$B$19='[1]Tablero de Control'!$S$27,'[1]Mercado'!$C$37*'[1]Mercado'!$C$40*K25,0))</f>
        <v>0</v>
      </c>
      <c r="L37" s="97">
        <f>IF('[1]Tablero de Control'!$B$19='[1]Tablero de Control'!$S$26,0,IF('[1]Tablero de Control'!$B$19='[1]Tablero de Control'!$S$27,'[1]Mercado'!$C$37*'[1]Mercado'!$C$40*L25,0))</f>
        <v>0</v>
      </c>
      <c r="M37" s="97">
        <f>IF('[1]Tablero de Control'!$B$19='[1]Tablero de Control'!$S$26,0,IF('[1]Tablero de Control'!$B$19='[1]Tablero de Control'!$S$27,'[1]Mercado'!$C$37*'[1]Mercado'!$C$40*M25,0))</f>
        <v>0</v>
      </c>
    </row>
    <row r="38" spans="2:13" ht="15">
      <c r="B38" s="99"/>
      <c r="C38" s="100"/>
      <c r="D38" s="101"/>
      <c r="E38" s="101"/>
      <c r="F38" s="101"/>
      <c r="G38" s="101"/>
      <c r="H38" s="101"/>
      <c r="I38" s="101"/>
      <c r="J38" s="101"/>
      <c r="K38" s="101"/>
      <c r="L38" s="101"/>
      <c r="M38" s="101"/>
    </row>
    <row r="39" spans="2:13" ht="15">
      <c r="B39" s="99"/>
      <c r="C39" s="100"/>
      <c r="D39" s="101"/>
      <c r="E39" s="101"/>
      <c r="F39" s="101"/>
      <c r="G39" s="101"/>
      <c r="H39" s="101"/>
      <c r="I39" s="101"/>
      <c r="J39" s="101"/>
      <c r="K39" s="101"/>
      <c r="L39" s="101"/>
      <c r="M39" s="101"/>
    </row>
    <row r="40" spans="2:13" ht="15">
      <c r="B40" s="99"/>
      <c r="C40" s="100"/>
      <c r="D40" s="101"/>
      <c r="E40" s="101"/>
      <c r="F40" s="101"/>
      <c r="G40" s="101"/>
      <c r="H40" s="101"/>
      <c r="I40" s="101"/>
      <c r="J40" s="101"/>
      <c r="K40" s="101"/>
      <c r="L40" s="101"/>
      <c r="M40" s="101"/>
    </row>
    <row r="41" spans="1:2" s="6" customFormat="1" ht="15.75">
      <c r="A41" s="8"/>
      <c r="B41" s="7" t="s">
        <v>2</v>
      </c>
    </row>
    <row r="42" spans="2:13" ht="15.75">
      <c r="B42" s="5" t="s">
        <v>1</v>
      </c>
      <c r="C42" s="4">
        <f aca="true" t="shared" si="4" ref="C42:M42">+C43+C44</f>
        <v>41715.08362538693</v>
      </c>
      <c r="D42" s="4">
        <f t="shared" si="4"/>
        <v>44449.65851857987</v>
      </c>
      <c r="E42" s="4">
        <f t="shared" si="4"/>
        <v>47366.85077461957</v>
      </c>
      <c r="F42" s="4">
        <f t="shared" si="4"/>
        <v>50478.88534051669</v>
      </c>
      <c r="G42" s="4">
        <f t="shared" si="4"/>
        <v>53798.805916931706</v>
      </c>
      <c r="H42" s="4">
        <f t="shared" si="4"/>
        <v>57340.52980137811</v>
      </c>
      <c r="I42" s="4">
        <f t="shared" si="4"/>
        <v>59605.561738604236</v>
      </c>
      <c r="J42" s="4">
        <f t="shared" si="4"/>
        <v>61961.50141300083</v>
      </c>
      <c r="K42" s="4">
        <f t="shared" si="4"/>
        <v>64412.002059231054</v>
      </c>
      <c r="L42" s="4">
        <f t="shared" si="4"/>
        <v>66960.8637588355</v>
      </c>
      <c r="M42" s="4">
        <f t="shared" si="4"/>
        <v>69612.03934349187</v>
      </c>
    </row>
    <row r="43" spans="2:13" ht="15.75">
      <c r="B43" s="3" t="s">
        <v>0</v>
      </c>
      <c r="C43" s="2">
        <f>IF('[1]Tablero de Control'!$B$10='[1]Tablero de Control'!$S$12,C18*'[1]Mercado'!C12,IF('[1]Tablero de Control'!$B$10='[1]Tablero de Control'!$S$13,C18*'[1]Mercado'!C19,IF('[1]Tablero de Control'!$B$10='[1]Tablero de Control'!$S$14,C18*'[1]Mercado'!C26,IF('[1]Tablero de Control'!$B$10='[1]Tablero de Control'!$S$15,C18*'[1]Mercado'!C33,0))))</f>
        <v>40643.526442649454</v>
      </c>
      <c r="D43" s="2">
        <f>IF('[1]Tablero de Control'!$B$10='[1]Tablero de Control'!$S$12,D18*'[1]Mercado'!D12,IF('[1]Tablero de Control'!$B$10='[1]Tablero de Control'!$S$13,D18*'[1]Mercado'!D19,IF('[1]Tablero de Control'!$B$10='[1]Tablero de Control'!$S$14,D18*'[1]Mercado'!D26,IF('[1]Tablero de Control'!$B$10='[1]Tablero de Control'!$S$15,D18*'[1]Mercado'!D33,0))))</f>
        <v>43366.28660231339</v>
      </c>
      <c r="E43" s="2">
        <f>IF('[1]Tablero de Control'!$B$10='[1]Tablero de Control'!$S$12,E18*'[1]Mercado'!E12,IF('[1]Tablero de Control'!$B$10='[1]Tablero de Control'!$S$13,E18*'[1]Mercado'!E19,IF('[1]Tablero de Control'!$B$10='[1]Tablero de Control'!$S$14,E18*'[1]Mercado'!E26,IF('[1]Tablero de Control'!$B$10='[1]Tablero de Control'!$S$15,E18*'[1]Mercado'!E33,0))))</f>
        <v>46271.44783629142</v>
      </c>
      <c r="F43" s="2">
        <f>IF('[1]Tablero de Control'!$B$10='[1]Tablero de Control'!$S$12,F18*'[1]Mercado'!F12,IF('[1]Tablero de Control'!$B$10='[1]Tablero de Control'!$S$13,F18*'[1]Mercado'!F19,IF('[1]Tablero de Control'!$B$10='[1]Tablero de Control'!$S$14,F18*'[1]Mercado'!F26,IF('[1]Tablero de Control'!$B$10='[1]Tablero de Control'!$S$15,F18*'[1]Mercado'!F33,0))))</f>
        <v>49371.22941839397</v>
      </c>
      <c r="G43" s="2">
        <f>IF('[1]Tablero de Control'!$B$10='[1]Tablero de Control'!$S$12,G18*'[1]Mercado'!G12,IF('[1]Tablero de Control'!$B$10='[1]Tablero de Control'!$S$13,G18*'[1]Mercado'!G19,IF('[1]Tablero de Control'!$B$10='[1]Tablero de Control'!$S$14,G18*'[1]Mercado'!G26,IF('[1]Tablero de Control'!$B$10='[1]Tablero de Control'!$S$15,G18*'[1]Mercado'!G33,0))))</f>
        <v>52678.66920671337</v>
      </c>
      <c r="H43" s="2">
        <f>IF('[1]Tablero de Control'!$B$10='[1]Tablero de Control'!$S$12,H18*'[1]Mercado'!H12,IF('[1]Tablero de Control'!$B$10='[1]Tablero de Control'!$S$13,H18*'[1]Mercado'!H19,IF('[1]Tablero de Control'!$B$10='[1]Tablero de Control'!$S$14,H18*'[1]Mercado'!H26,IF('[1]Tablero de Control'!$B$10='[1]Tablero de Control'!$S$15,H18*'[1]Mercado'!H33,0))))</f>
        <v>56207.67848159865</v>
      </c>
      <c r="I43" s="2">
        <f>IF('[1]Tablero de Control'!$B$10='[1]Tablero de Control'!$S$12,I18*'[1]Mercado'!I12,IF('[1]Tablero de Control'!$B$10='[1]Tablero de Control'!$S$13,I18*'[1]Mercado'!I19,IF('[1]Tablero de Control'!$B$10='[1]Tablero de Control'!$S$14,I18*'[1]Mercado'!I26,IF('[1]Tablero de Control'!$B$10='[1]Tablero de Control'!$S$15,I18*'[1]Mercado'!I33,0))))</f>
        <v>58467.37903255257</v>
      </c>
      <c r="J43" s="2">
        <f>IF('[1]Tablero de Control'!$B$10='[1]Tablero de Control'!$S$12,J18*'[1]Mercado'!J12,IF('[1]Tablero de Control'!$B$10='[1]Tablero de Control'!$S$13,J18*'[1]Mercado'!J19,IF('[1]Tablero de Control'!$B$10='[1]Tablero de Control'!$S$14,J18*'[1]Mercado'!J26,IF('[1]Tablero de Control'!$B$10='[1]Tablero de Control'!$S$15,J18*'[1]Mercado'!J33,0))))</f>
        <v>60817.92565148017</v>
      </c>
      <c r="K43" s="2">
        <f>IF('[1]Tablero de Control'!$B$10='[1]Tablero de Control'!$S$12,K18*'[1]Mercado'!K12,IF('[1]Tablero de Control'!$B$10='[1]Tablero de Control'!$S$13,K18*'[1]Mercado'!K19,IF('[1]Tablero de Control'!$B$10='[1]Tablero de Control'!$S$14,K18*'[1]Mercado'!K26,IF('[1]Tablero de Control'!$B$10='[1]Tablero de Control'!$S$15,K18*'[1]Mercado'!K33,0))))</f>
        <v>63262.97059578464</v>
      </c>
      <c r="L43" s="2">
        <f>IF('[1]Tablero de Control'!$B$10='[1]Tablero de Control'!$S$12,L18*'[1]Mercado'!L12,IF('[1]Tablero de Control'!$B$10='[1]Tablero de Control'!$S$13,L18*'[1]Mercado'!L19,IF('[1]Tablero de Control'!$B$10='[1]Tablero de Control'!$S$14,L18*'[1]Mercado'!L26,IF('[1]Tablero de Control'!$B$10='[1]Tablero de Control'!$S$15,L18*'[1]Mercado'!L33,0))))</f>
        <v>65806.31295348541</v>
      </c>
      <c r="M43" s="2">
        <f>IF('[1]Tablero de Control'!$B$10='[1]Tablero de Control'!$S$12,M18*'[1]Mercado'!M12,IF('[1]Tablero de Control'!$B$10='[1]Tablero de Control'!$S$13,M18*'[1]Mercado'!M19,IF('[1]Tablero de Control'!$B$10='[1]Tablero de Control'!$S$14,M18*'[1]Mercado'!M26,IF('[1]Tablero de Control'!$B$10='[1]Tablero de Control'!$S$15,M18*'[1]Mercado'!M33,0))))</f>
        <v>68451.9045462056</v>
      </c>
    </row>
    <row r="44" spans="2:13" ht="15.75">
      <c r="B44" s="3" t="s">
        <v>178</v>
      </c>
      <c r="C44" s="2">
        <f>IF('[1]Tablero de Control'!$B$10='[1]Tablero de Control'!$S$12,C19*'[1]Mercado'!C13,IF('[1]Tablero de Control'!$B$10='[1]Tablero de Control'!$S$13,C19*'[1]Mercado'!C20,IF('[1]Tablero de Control'!$B$10='[1]Tablero de Control'!$S$14,C19*'[1]Mercado'!C27,IF('[1]Tablero de Control'!$B$10='[1]Tablero de Control'!$S$15,C19*'[1]Mercado'!C34,0))))</f>
        <v>1071.5571827374754</v>
      </c>
      <c r="D44" s="2">
        <f>IF('[1]Tablero de Control'!$B$10='[1]Tablero de Control'!$S$12,D19*'[1]Mercado'!D13,IF('[1]Tablero de Control'!$B$10='[1]Tablero de Control'!$S$13,D19*'[1]Mercado'!D20,IF('[1]Tablero de Control'!$B$10='[1]Tablero de Control'!$S$14,D19*'[1]Mercado'!D27,IF('[1]Tablero de Control'!$B$10='[1]Tablero de Control'!$S$15,D19*'[1]Mercado'!D34,0))))</f>
        <v>1083.3719162664759</v>
      </c>
      <c r="E44" s="2">
        <f>IF('[1]Tablero de Control'!$B$10='[1]Tablero de Control'!$S$12,E19*'[1]Mercado'!E13,IF('[1]Tablero de Control'!$B$10='[1]Tablero de Control'!$S$13,E19*'[1]Mercado'!E20,IF('[1]Tablero de Control'!$B$10='[1]Tablero de Control'!$S$14,E19*'[1]Mercado'!E27,IF('[1]Tablero de Control'!$B$10='[1]Tablero de Control'!$S$15,E19*'[1]Mercado'!E34,0))))</f>
        <v>1095.4029383281436</v>
      </c>
      <c r="F44" s="2">
        <f>IF('[1]Tablero de Control'!$B$10='[1]Tablero de Control'!$S$12,F19*'[1]Mercado'!F13,IF('[1]Tablero de Control'!$B$10='[1]Tablero de Control'!$S$13,F19*'[1]Mercado'!F20,IF('[1]Tablero de Control'!$B$10='[1]Tablero de Control'!$S$14,F19*'[1]Mercado'!F27,IF('[1]Tablero de Control'!$B$10='[1]Tablero de Control'!$S$15,F19*'[1]Mercado'!F34,0))))</f>
        <v>1107.655922122723</v>
      </c>
      <c r="G44" s="2">
        <f>IF('[1]Tablero de Control'!$B$10='[1]Tablero de Control'!$S$12,G19*'[1]Mercado'!G13,IF('[1]Tablero de Control'!$B$10='[1]Tablero de Control'!$S$13,G19*'[1]Mercado'!G20,IF('[1]Tablero de Control'!$B$10='[1]Tablero de Control'!$S$14,G19*'[1]Mercado'!G27,IF('[1]Tablero de Control'!$B$10='[1]Tablero de Control'!$S$15,G19*'[1]Mercado'!G34,0))))</f>
        <v>1120.1367102183333</v>
      </c>
      <c r="H44" s="2">
        <f>IF('[1]Tablero de Control'!$B$10='[1]Tablero de Control'!$S$12,H19*'[1]Mercado'!H13,IF('[1]Tablero de Control'!$B$10='[1]Tablero de Control'!$S$13,H19*'[1]Mercado'!H20,IF('[1]Tablero de Control'!$B$10='[1]Tablero de Control'!$S$14,H19*'[1]Mercado'!H27,IF('[1]Tablero de Control'!$B$10='[1]Tablero de Control'!$S$15,H19*'[1]Mercado'!H34,0))))</f>
        <v>1132.8513197794616</v>
      </c>
      <c r="I44" s="2">
        <f>IF('[1]Tablero de Control'!$B$10='[1]Tablero de Control'!$S$12,I19*'[1]Mercado'!I13,IF('[1]Tablero de Control'!$B$10='[1]Tablero de Control'!$S$13,I19*'[1]Mercado'!I20,IF('[1]Tablero de Control'!$B$10='[1]Tablero de Control'!$S$14,I19*'[1]Mercado'!I27,IF('[1]Tablero de Control'!$B$10='[1]Tablero de Control'!$S$15,I19*'[1]Mercado'!I34,0))))</f>
        <v>1138.1827060516662</v>
      </c>
      <c r="J44" s="2">
        <f>IF('[1]Tablero de Control'!$B$10='[1]Tablero de Control'!$S$12,J19*'[1]Mercado'!J13,IF('[1]Tablero de Control'!$B$10='[1]Tablero de Control'!$S$13,J19*'[1]Mercado'!J20,IF('[1]Tablero de Control'!$B$10='[1]Tablero de Control'!$S$14,J19*'[1]Mercado'!J27,IF('[1]Tablero de Control'!$B$10='[1]Tablero de Control'!$S$15,J19*'[1]Mercado'!J34,0))))</f>
        <v>1143.5757615206617</v>
      </c>
      <c r="K44" s="2">
        <f>IF('[1]Tablero de Control'!$B$10='[1]Tablero de Control'!$S$12,K19*'[1]Mercado'!K13,IF('[1]Tablero de Control'!$B$10='[1]Tablero de Control'!$S$13,K19*'[1]Mercado'!K20,IF('[1]Tablero de Control'!$B$10='[1]Tablero de Control'!$S$14,K19*'[1]Mercado'!K27,IF('[1]Tablero de Control'!$B$10='[1]Tablero de Control'!$S$15,K19*'[1]Mercado'!K34,0))))</f>
        <v>1149.0314634464178</v>
      </c>
      <c r="L44" s="2">
        <f>IF('[1]Tablero de Control'!$B$10='[1]Tablero de Control'!$S$12,L19*'[1]Mercado'!L13,IF('[1]Tablero de Control'!$B$10='[1]Tablero de Control'!$S$13,L19*'[1]Mercado'!L20,IF('[1]Tablero de Control'!$B$10='[1]Tablero de Control'!$S$14,L19*'[1]Mercado'!L27,IF('[1]Tablero de Control'!$B$10='[1]Tablero de Control'!$S$15,L19*'[1]Mercado'!L34,0))))</f>
        <v>1154.550805350092</v>
      </c>
      <c r="M44" s="2">
        <f>IF('[1]Tablero de Control'!$B$10='[1]Tablero de Control'!$S$12,M19*'[1]Mercado'!M13,IF('[1]Tablero de Control'!$B$10='[1]Tablero de Control'!$S$13,M19*'[1]Mercado'!M20,IF('[1]Tablero de Control'!$B$10='[1]Tablero de Control'!$S$14,M19*'[1]Mercado'!M27,IF('[1]Tablero de Control'!$B$10='[1]Tablero de Control'!$S$15,M19*'[1]Mercado'!M34,0))))</f>
        <v>1160.1347972862723</v>
      </c>
    </row>
    <row r="45" spans="2:13" ht="15">
      <c r="B45" s="99"/>
      <c r="C45" s="100"/>
      <c r="D45" s="127"/>
      <c r="E45" s="127"/>
      <c r="F45" s="127"/>
      <c r="G45" s="127"/>
      <c r="H45" s="127"/>
      <c r="I45" s="127"/>
      <c r="J45" s="127"/>
      <c r="K45" s="127"/>
      <c r="L45" s="127"/>
      <c r="M45" s="127"/>
    </row>
    <row r="46" spans="2:13" ht="15">
      <c r="B46" s="99"/>
      <c r="C46" s="100"/>
      <c r="D46" s="127"/>
      <c r="E46" s="127"/>
      <c r="F46" s="127"/>
      <c r="G46" s="127"/>
      <c r="H46" s="127"/>
      <c r="I46" s="127"/>
      <c r="J46" s="127"/>
      <c r="K46" s="127"/>
      <c r="L46" s="127"/>
      <c r="M46" s="127"/>
    </row>
    <row r="47" spans="2:13" ht="15">
      <c r="B47" s="99"/>
      <c r="C47" s="100"/>
      <c r="D47" s="127"/>
      <c r="E47" s="127"/>
      <c r="F47" s="127"/>
      <c r="G47" s="127"/>
      <c r="H47" s="127"/>
      <c r="I47" s="127"/>
      <c r="J47" s="127"/>
      <c r="K47" s="127"/>
      <c r="L47" s="127"/>
      <c r="M47" s="1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7"/>
  <sheetViews>
    <sheetView zoomScalePageLayoutView="0" workbookViewId="0" topLeftCell="A1">
      <selection activeCell="G11" sqref="G11"/>
    </sheetView>
  </sheetViews>
  <sheetFormatPr defaultColWidth="11.421875" defaultRowHeight="15"/>
  <cols>
    <col min="1" max="1" width="1.7109375" style="25" customWidth="1"/>
    <col min="2" max="2" width="50.00390625" style="25" customWidth="1"/>
    <col min="3" max="18" width="15.7109375" style="25" customWidth="1"/>
    <col min="19" max="16384" width="11.421875" style="25" customWidth="1"/>
  </cols>
  <sheetData>
    <row r="1" spans="1:2" s="6" customFormat="1" ht="4.5" customHeight="1">
      <c r="A1" s="8"/>
      <c r="B1" s="8"/>
    </row>
    <row r="2" spans="1:13" s="6" customFormat="1" ht="15.75">
      <c r="A2" s="8"/>
      <c r="B2" s="48" t="s">
        <v>12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6" customFormat="1" ht="15.75">
      <c r="A3" s="8"/>
      <c r="B3" s="48" t="s">
        <v>13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s="6" customFormat="1" ht="15.75">
      <c r="A4" s="8"/>
      <c r="B4" s="47" t="s">
        <v>66</v>
      </c>
      <c r="C4" s="14"/>
      <c r="D4" s="14"/>
      <c r="E4" s="16"/>
      <c r="F4" s="16"/>
      <c r="G4" s="16"/>
      <c r="H4" s="17"/>
      <c r="I4" s="16"/>
      <c r="J4" s="16"/>
      <c r="K4" s="16"/>
      <c r="L4" s="16"/>
      <c r="M4" s="16"/>
    </row>
    <row r="5" spans="1:13" s="6" customFormat="1" ht="4.5" customHeight="1">
      <c r="A5" s="8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ht="15.75">
      <c r="B6" s="64" t="s">
        <v>231</v>
      </c>
    </row>
    <row r="7" ht="15.75">
      <c r="B7" s="65" t="s">
        <v>94</v>
      </c>
    </row>
    <row r="8" spans="2:4" ht="54" customHeight="1">
      <c r="B8" s="69" t="s">
        <v>97</v>
      </c>
      <c r="C8" s="70" t="s">
        <v>92</v>
      </c>
      <c r="D8" s="70" t="s">
        <v>98</v>
      </c>
    </row>
    <row r="9" spans="2:4" ht="15.75">
      <c r="B9" s="63" t="s">
        <v>88</v>
      </c>
      <c r="C9" s="37">
        <f>+'[1]Opex'!F9</f>
        <v>102</v>
      </c>
      <c r="D9" s="37">
        <f>+'[1]Opex'!H9</f>
        <v>882045</v>
      </c>
    </row>
    <row r="10" spans="2:4" ht="15.75">
      <c r="B10" s="63" t="s">
        <v>89</v>
      </c>
      <c r="C10" s="37">
        <f>+'[1]Opex'!F10</f>
        <v>126</v>
      </c>
      <c r="D10" s="37">
        <f>+'[1]Opex'!H10</f>
        <v>882045</v>
      </c>
    </row>
    <row r="11" spans="2:4" ht="15.75">
      <c r="B11" s="63" t="s">
        <v>237</v>
      </c>
      <c r="C11" s="37">
        <f>+'[1]Opex'!F11</f>
        <v>132</v>
      </c>
      <c r="D11" s="37">
        <f>+'[1]Opex'!H11</f>
        <v>882045</v>
      </c>
    </row>
    <row r="12" spans="2:4" ht="15.75">
      <c r="B12" s="63" t="s">
        <v>90</v>
      </c>
      <c r="C12" s="37">
        <f>+'[1]Opex'!F12</f>
        <v>156</v>
      </c>
      <c r="D12" s="37">
        <f>+'[1]Opex'!H12</f>
        <v>882045</v>
      </c>
    </row>
    <row r="13" spans="2:4" ht="15.75">
      <c r="B13" s="63" t="s">
        <v>91</v>
      </c>
      <c r="C13" s="37">
        <f>+'[1]Opex'!F13</f>
        <v>33</v>
      </c>
      <c r="D13" s="37">
        <f>+'[1]Opex'!H13</f>
        <v>1606500</v>
      </c>
    </row>
    <row r="14" spans="2:4" ht="15.75">
      <c r="B14" s="33" t="s">
        <v>93</v>
      </c>
      <c r="C14" s="44">
        <f>SUM(C9:C13)</f>
        <v>549</v>
      </c>
      <c r="D14" s="44">
        <f>SUMPRODUCT(C9:C13,D9:D13)/C14</f>
        <v>925591.475409836</v>
      </c>
    </row>
    <row r="15" spans="2:4" ht="15.75">
      <c r="B15" s="63" t="s">
        <v>195</v>
      </c>
      <c r="C15" s="37">
        <f>IF('[1]Tablero de Control'!$B$41='[1]Tablero de Control'!$S$53,0,C14*'[1]Tablero de Control'!$B$41)</f>
        <v>0</v>
      </c>
      <c r="D15" s="37"/>
    </row>
    <row r="16" spans="2:4" ht="15.75">
      <c r="B16" s="33" t="s">
        <v>96</v>
      </c>
      <c r="C16" s="44">
        <f>+C14+C15</f>
        <v>549</v>
      </c>
      <c r="D16" s="44">
        <f>+D14*C16</f>
        <v>508149720</v>
      </c>
    </row>
    <row r="17" spans="2:3" ht="15.75">
      <c r="B17" s="63" t="s">
        <v>95</v>
      </c>
      <c r="C17" s="37">
        <f>+'[1]Opex'!$F$15</f>
        <v>30</v>
      </c>
    </row>
    <row r="18" ht="15.75">
      <c r="B18" s="69" t="s">
        <v>99</v>
      </c>
    </row>
    <row r="19" ht="15.75">
      <c r="B19" s="63" t="s">
        <v>100</v>
      </c>
    </row>
    <row r="20" spans="2:7" ht="31.5" customHeight="1">
      <c r="B20" s="62" t="s">
        <v>62</v>
      </c>
      <c r="C20" s="62" t="s">
        <v>61</v>
      </c>
      <c r="D20" s="62" t="s">
        <v>60</v>
      </c>
      <c r="E20" s="62" t="s">
        <v>59</v>
      </c>
      <c r="F20" s="62" t="s">
        <v>87</v>
      </c>
      <c r="G20" s="62" t="s">
        <v>57</v>
      </c>
    </row>
    <row r="21" spans="2:7" ht="15.75">
      <c r="B21" s="86" t="str">
        <f>+'[1]Red de Servicio'!C8</f>
        <v>BOGOTA</v>
      </c>
      <c r="C21" s="37" t="str">
        <f>VLOOKUP(B21,'[1]Red de Servicio'!$C$8:$G$1377,5,FALSE)</f>
        <v>O</v>
      </c>
      <c r="D21" s="37">
        <f>+'[1]Opex'!$C$15</f>
        <v>3</v>
      </c>
      <c r="E21" s="37">
        <f>+'[1]Opex'!C19</f>
        <v>300</v>
      </c>
      <c r="F21" s="37">
        <f>+'[1]Opex'!D19</f>
        <v>40000</v>
      </c>
      <c r="G21" s="37">
        <f aca="true" t="shared" si="0" ref="G21:G45">+E21*F21</f>
        <v>12000000</v>
      </c>
    </row>
    <row r="22" spans="2:7" ht="15.75">
      <c r="B22" s="86" t="str">
        <f>+'[1]Red de Servicio'!C9</f>
        <v>MEDELLIN</v>
      </c>
      <c r="C22" s="37" t="str">
        <f>VLOOKUP(B22,'[1]Red de Servicio'!$C$8:$G$1377,5,FALSE)</f>
        <v>N</v>
      </c>
      <c r="D22" s="37">
        <f>+'[1]Opex'!$D$15/3</f>
        <v>2</v>
      </c>
      <c r="E22" s="37">
        <f>+'[1]Opex'!C20</f>
        <v>250</v>
      </c>
      <c r="F22" s="37">
        <f>+'[1]Opex'!D20</f>
        <v>30000</v>
      </c>
      <c r="G22" s="37">
        <f t="shared" si="0"/>
        <v>7500000</v>
      </c>
    </row>
    <row r="23" spans="2:7" ht="15.75">
      <c r="B23" s="86" t="str">
        <f>+'[1]Red de Servicio'!C10</f>
        <v>CALI</v>
      </c>
      <c r="C23" s="37" t="str">
        <f>VLOOKUP(B23,'[1]Red de Servicio'!$C$8:$G$1377,5,FALSE)</f>
        <v>N</v>
      </c>
      <c r="D23" s="37">
        <f>+'[1]Opex'!$D$15/3</f>
        <v>2</v>
      </c>
      <c r="E23" s="37">
        <f>+'[1]Opex'!C21</f>
        <v>250</v>
      </c>
      <c r="F23" s="37">
        <f>+'[1]Opex'!D21</f>
        <v>30000</v>
      </c>
      <c r="G23" s="37">
        <f t="shared" si="0"/>
        <v>7500000</v>
      </c>
    </row>
    <row r="24" spans="2:7" ht="15.75">
      <c r="B24" s="86" t="str">
        <f>+'[1]Red de Servicio'!C11</f>
        <v>BARRANQUILLA</v>
      </c>
      <c r="C24" s="37" t="str">
        <f>VLOOKUP(B24,'[1]Red de Servicio'!$C$8:$G$1377,5,FALSE)</f>
        <v>N</v>
      </c>
      <c r="D24" s="37">
        <f>+'[1]Opex'!$D$15/3</f>
        <v>2</v>
      </c>
      <c r="E24" s="37">
        <f>+'[1]Opex'!C22</f>
        <v>250</v>
      </c>
      <c r="F24" s="37">
        <f>+'[1]Opex'!D22</f>
        <v>30000</v>
      </c>
      <c r="G24" s="37">
        <f t="shared" si="0"/>
        <v>7500000</v>
      </c>
    </row>
    <row r="25" spans="2:7" ht="15.75">
      <c r="B25" s="86" t="str">
        <f>+'[1]Red de Servicio'!C12</f>
        <v>CARTAGENA</v>
      </c>
      <c r="C25" s="37" t="str">
        <f>VLOOKUP(B25,'[1]Red de Servicio'!$C$8:$G$1377,5,FALSE)</f>
        <v>M</v>
      </c>
      <c r="D25" s="37">
        <f>+'[1]Opex'!$E$15/21</f>
        <v>1</v>
      </c>
      <c r="E25" s="37">
        <f>+'[1]Opex'!C23</f>
        <v>60</v>
      </c>
      <c r="F25" s="37">
        <f>+'[1]Opex'!D23</f>
        <v>25000</v>
      </c>
      <c r="G25" s="37">
        <f t="shared" si="0"/>
        <v>1500000</v>
      </c>
    </row>
    <row r="26" spans="2:7" ht="15.75">
      <c r="B26" s="86" t="str">
        <f>+'[1]Red de Servicio'!C14</f>
        <v>BUCARAMANGA</v>
      </c>
      <c r="C26" s="37" t="str">
        <f>VLOOKUP(B26,'[1]Red de Servicio'!$C$8:$G$1377,5,FALSE)</f>
        <v>M</v>
      </c>
      <c r="D26" s="37">
        <f>+'[1]Opex'!$E$15/21</f>
        <v>1</v>
      </c>
      <c r="E26" s="37">
        <f>+'[1]Opex'!C24</f>
        <v>60</v>
      </c>
      <c r="F26" s="37">
        <f>+'[1]Opex'!D24</f>
        <v>25000</v>
      </c>
      <c r="G26" s="37">
        <f t="shared" si="0"/>
        <v>1500000</v>
      </c>
    </row>
    <row r="27" spans="2:7" ht="15.75">
      <c r="B27" s="86" t="str">
        <f>+'[1]Red de Servicio'!C15</f>
        <v>IBAGUE</v>
      </c>
      <c r="C27" s="37" t="str">
        <f>VLOOKUP(B27,'[1]Red de Servicio'!$C$8:$G$1377,5,FALSE)</f>
        <v>N</v>
      </c>
      <c r="D27" s="37">
        <f>+'[1]Opex'!$E$15/21</f>
        <v>1</v>
      </c>
      <c r="E27" s="37">
        <f>+'[1]Opex'!C25</f>
        <v>60</v>
      </c>
      <c r="F27" s="37">
        <f>+'[1]Opex'!D25</f>
        <v>30000</v>
      </c>
      <c r="G27" s="37">
        <f t="shared" si="0"/>
        <v>1800000</v>
      </c>
    </row>
    <row r="28" spans="2:7" ht="15.75">
      <c r="B28" s="86" t="str">
        <f>+'[1]Red de Servicio'!C18</f>
        <v>SANTA MARTA</v>
      </c>
      <c r="C28" s="37" t="str">
        <f>VLOOKUP(B28,'[1]Red de Servicio'!$C$8:$G$1377,5,FALSE)</f>
        <v>K</v>
      </c>
      <c r="D28" s="37">
        <f>+'[1]Opex'!$E$15/21</f>
        <v>1</v>
      </c>
      <c r="E28" s="37">
        <f>+'[1]Opex'!C26</f>
        <v>60</v>
      </c>
      <c r="F28" s="37">
        <f>+'[1]Opex'!D26</f>
        <v>20000</v>
      </c>
      <c r="G28" s="37">
        <f t="shared" si="0"/>
        <v>1200000</v>
      </c>
    </row>
    <row r="29" spans="2:7" ht="15.75">
      <c r="B29" s="86" t="str">
        <f>+'[1]Red de Servicio'!C19</f>
        <v>VILLAVICENCIO</v>
      </c>
      <c r="C29" s="37" t="str">
        <f>VLOOKUP(B29,'[1]Red de Servicio'!$C$8:$G$1377,5,FALSE)</f>
        <v>M</v>
      </c>
      <c r="D29" s="37">
        <f>+'[1]Opex'!$E$15/21</f>
        <v>1</v>
      </c>
      <c r="E29" s="37">
        <f>+'[1]Opex'!C27</f>
        <v>60</v>
      </c>
      <c r="F29" s="37">
        <f>+'[1]Opex'!D27</f>
        <v>25000</v>
      </c>
      <c r="G29" s="37">
        <f t="shared" si="0"/>
        <v>1500000</v>
      </c>
    </row>
    <row r="30" spans="2:7" ht="15.75">
      <c r="B30" s="86" t="str">
        <f>+'[1]Red de Servicio'!C21</f>
        <v>PEREIRA</v>
      </c>
      <c r="C30" s="37" t="str">
        <f>VLOOKUP(B30,'[1]Red de Servicio'!$C$8:$G$1377,5,FALSE)</f>
        <v>L</v>
      </c>
      <c r="D30" s="37">
        <f>+'[1]Opex'!$E$15/21</f>
        <v>1</v>
      </c>
      <c r="E30" s="37">
        <f>+'[1]Opex'!C28</f>
        <v>60</v>
      </c>
      <c r="F30" s="37">
        <f>+'[1]Opex'!D28</f>
        <v>20000</v>
      </c>
      <c r="G30" s="37">
        <f t="shared" si="0"/>
        <v>1200000</v>
      </c>
    </row>
    <row r="31" spans="2:7" ht="15.75">
      <c r="B31" s="86" t="str">
        <f>+'[1]Red de Servicio'!C22</f>
        <v>MANIZALES</v>
      </c>
      <c r="C31" s="37" t="str">
        <f>VLOOKUP(B31,'[1]Red de Servicio'!$C$8:$G$1377,5,FALSE)</f>
        <v>M</v>
      </c>
      <c r="D31" s="37">
        <f>+'[1]Opex'!$E$15/21</f>
        <v>1</v>
      </c>
      <c r="E31" s="37">
        <f>+'[1]Opex'!C29</f>
        <v>60</v>
      </c>
      <c r="F31" s="37">
        <f>+'[1]Opex'!D29</f>
        <v>25000</v>
      </c>
      <c r="G31" s="37">
        <f t="shared" si="0"/>
        <v>1500000</v>
      </c>
    </row>
    <row r="32" spans="2:7" ht="15.75">
      <c r="B32" s="86" t="str">
        <f>+'[1]Red de Servicio'!C23</f>
        <v>PASTO</v>
      </c>
      <c r="C32" s="37" t="str">
        <f>VLOOKUP(B32,'[1]Red de Servicio'!$C$8:$G$1377,5,FALSE)</f>
        <v>L</v>
      </c>
      <c r="D32" s="37">
        <f>+'[1]Opex'!$E$15/21</f>
        <v>1</v>
      </c>
      <c r="E32" s="37">
        <f>+'[1]Opex'!C30</f>
        <v>60</v>
      </c>
      <c r="F32" s="37">
        <f>+'[1]Opex'!D30</f>
        <v>20000</v>
      </c>
      <c r="G32" s="37">
        <f t="shared" si="0"/>
        <v>1200000</v>
      </c>
    </row>
    <row r="33" spans="2:7" ht="15.75">
      <c r="B33" s="86" t="str">
        <f>+'[1]Red de Servicio'!C24</f>
        <v>NEIVA</v>
      </c>
      <c r="C33" s="37" t="str">
        <f>VLOOKUP(B33,'[1]Red de Servicio'!$C$8:$G$1377,5,FALSE)</f>
        <v>M</v>
      </c>
      <c r="D33" s="37">
        <f>+'[1]Opex'!$E$15/21</f>
        <v>1</v>
      </c>
      <c r="E33" s="37">
        <f>+'[1]Opex'!C31</f>
        <v>60</v>
      </c>
      <c r="F33" s="37">
        <f>+'[1]Opex'!D31</f>
        <v>25000</v>
      </c>
      <c r="G33" s="37">
        <f t="shared" si="0"/>
        <v>1500000</v>
      </c>
    </row>
    <row r="34" spans="2:7" ht="15.75">
      <c r="B34" s="86" t="str">
        <f>+'[1]Red de Servicio'!C25</f>
        <v>VALLEDUPAR</v>
      </c>
      <c r="C34" s="37" t="str">
        <f>VLOOKUP(B34,'[1]Red de Servicio'!$C$8:$G$1377,5,FALSE)</f>
        <v>J</v>
      </c>
      <c r="D34" s="37">
        <f>+'[1]Opex'!$E$15/21</f>
        <v>1</v>
      </c>
      <c r="E34" s="37">
        <f>+'[1]Opex'!C32</f>
        <v>60</v>
      </c>
      <c r="F34" s="37">
        <f>+'[1]Opex'!D32</f>
        <v>15000</v>
      </c>
      <c r="G34" s="37">
        <f t="shared" si="0"/>
        <v>900000</v>
      </c>
    </row>
    <row r="35" spans="2:7" ht="15.75">
      <c r="B35" s="86" t="str">
        <f>+'[1]Red de Servicio'!C27</f>
        <v>MONTERIA</v>
      </c>
      <c r="C35" s="37" t="str">
        <f>VLOOKUP(B35,'[1]Red de Servicio'!$C$8:$G$1377,5,FALSE)</f>
        <v>J</v>
      </c>
      <c r="D35" s="37">
        <f>+'[1]Opex'!$E$15/21</f>
        <v>1</v>
      </c>
      <c r="E35" s="37">
        <f>+'[1]Opex'!C33</f>
        <v>60</v>
      </c>
      <c r="F35" s="37">
        <f>+'[1]Opex'!D33</f>
        <v>15000</v>
      </c>
      <c r="G35" s="37">
        <f t="shared" si="0"/>
        <v>900000</v>
      </c>
    </row>
    <row r="36" spans="2:7" ht="15.75">
      <c r="B36" s="86" t="str">
        <f>+'[1]Red de Servicio'!C30</f>
        <v>POPAYAN</v>
      </c>
      <c r="C36" s="37" t="str">
        <f>VLOOKUP(B36,'[1]Red de Servicio'!$C$8:$G$1377,5,FALSE)</f>
        <v>K</v>
      </c>
      <c r="D36" s="37">
        <f>+'[1]Opex'!$E$15/21</f>
        <v>1</v>
      </c>
      <c r="E36" s="37">
        <f>+'[1]Opex'!C34</f>
        <v>60</v>
      </c>
      <c r="F36" s="37">
        <f>+'[1]Opex'!D34</f>
        <v>20000</v>
      </c>
      <c r="G36" s="37">
        <f t="shared" si="0"/>
        <v>1200000</v>
      </c>
    </row>
    <row r="37" spans="2:7" ht="15.75">
      <c r="B37" s="86" t="str">
        <f>+'[1]Red de Servicio'!C31</f>
        <v>PALMIRA</v>
      </c>
      <c r="C37" s="37" t="str">
        <f>VLOOKUP(B37,'[1]Red de Servicio'!$C$8:$G$1377,5,FALSE)</f>
        <v>K</v>
      </c>
      <c r="D37" s="37">
        <f>+'[1]Opex'!$E$15/21</f>
        <v>1</v>
      </c>
      <c r="E37" s="37">
        <f>+'[1]Opex'!C35</f>
        <v>60</v>
      </c>
      <c r="F37" s="37">
        <f>+'[1]Opex'!D35</f>
        <v>20000</v>
      </c>
      <c r="G37" s="37">
        <f t="shared" si="0"/>
        <v>1200000</v>
      </c>
    </row>
    <row r="38" spans="2:7" ht="15.75">
      <c r="B38" s="86" t="str">
        <f>+'[1]Red de Servicio'!C37</f>
        <v>TULUA</v>
      </c>
      <c r="C38" s="37" t="str">
        <f>VLOOKUP(B38,'[1]Red de Servicio'!$C$8:$G$1377,5,FALSE)</f>
        <v>J</v>
      </c>
      <c r="D38" s="37">
        <f>+'[1]Opex'!$E$15/21</f>
        <v>1</v>
      </c>
      <c r="E38" s="37">
        <f>+'[1]Opex'!C36</f>
        <v>60</v>
      </c>
      <c r="F38" s="37">
        <f>+'[1]Opex'!D36</f>
        <v>15000</v>
      </c>
      <c r="G38" s="37">
        <f t="shared" si="0"/>
        <v>900000</v>
      </c>
    </row>
    <row r="39" spans="2:7" ht="15.75">
      <c r="B39" s="86" t="str">
        <f>+'[1]Red de Servicio'!C38</f>
        <v>TUNJA</v>
      </c>
      <c r="C39" s="37" t="str">
        <f>VLOOKUP(B39,'[1]Red de Servicio'!$C$8:$G$1377,5,FALSE)</f>
        <v>L</v>
      </c>
      <c r="D39" s="37">
        <f>+'[1]Opex'!$E$15/21</f>
        <v>1</v>
      </c>
      <c r="E39" s="37">
        <f>+'[1]Opex'!C37</f>
        <v>60</v>
      </c>
      <c r="F39" s="37">
        <f>+'[1]Opex'!D37</f>
        <v>20000</v>
      </c>
      <c r="G39" s="37">
        <f t="shared" si="0"/>
        <v>1200000</v>
      </c>
    </row>
    <row r="40" spans="2:7" ht="15.75">
      <c r="B40" s="86" t="str">
        <f>+'[1]Red de Servicio'!C47</f>
        <v>GIRARDOT</v>
      </c>
      <c r="C40" s="37" t="str">
        <f>VLOOKUP(B40,'[1]Red de Servicio'!$C$8:$G$1377,5,FALSE)</f>
        <v>M</v>
      </c>
      <c r="D40" s="37">
        <f>+'[1]Opex'!$E$15/21</f>
        <v>1</v>
      </c>
      <c r="E40" s="37">
        <f>+'[1]Opex'!C38</f>
        <v>60</v>
      </c>
      <c r="F40" s="37">
        <f>+'[1]Opex'!D38</f>
        <v>25000</v>
      </c>
      <c r="G40" s="37">
        <f t="shared" si="0"/>
        <v>1500000</v>
      </c>
    </row>
    <row r="41" spans="2:7" ht="15.75">
      <c r="B41" s="86" t="str">
        <f>+'[1]Red de Servicio'!C50</f>
        <v>CIENAGA</v>
      </c>
      <c r="C41" s="37" t="str">
        <f>VLOOKUP(B41,'[1]Red de Servicio'!$C$8:$G$1377,5,FALSE)</f>
        <v>G</v>
      </c>
      <c r="D41" s="37">
        <f>+'[1]Opex'!$E$15/21</f>
        <v>1</v>
      </c>
      <c r="E41" s="37">
        <f>+'[1]Opex'!C39</f>
        <v>50</v>
      </c>
      <c r="F41" s="37">
        <f>+'[1]Opex'!D39</f>
        <v>10000</v>
      </c>
      <c r="G41" s="37">
        <f t="shared" si="0"/>
        <v>500000</v>
      </c>
    </row>
    <row r="42" spans="2:7" ht="15.75">
      <c r="B42" s="86" t="str">
        <f>+'[1]Red de Servicio'!C53</f>
        <v>IPIALES</v>
      </c>
      <c r="C42" s="37" t="str">
        <f>VLOOKUP(B42,'[1]Red de Servicio'!$C$8:$G$1377,5,FALSE)</f>
        <v>G</v>
      </c>
      <c r="D42" s="37">
        <f>+'[1]Opex'!$E$15/21</f>
        <v>1</v>
      </c>
      <c r="E42" s="37">
        <f>+'[1]Opex'!C40</f>
        <v>50</v>
      </c>
      <c r="F42" s="37">
        <f>+'[1]Opex'!D40</f>
        <v>10000</v>
      </c>
      <c r="G42" s="37">
        <f t="shared" si="0"/>
        <v>500000</v>
      </c>
    </row>
    <row r="43" spans="2:7" ht="15.75">
      <c r="B43" s="86" t="str">
        <f>+'[1]Red de Servicio'!C140</f>
        <v>BUGA</v>
      </c>
      <c r="C43" s="37" t="str">
        <f>VLOOKUP(B43,'[1]Red de Servicio'!$C$8:$G$1377,5,FALSE)</f>
        <v>I</v>
      </c>
      <c r="D43" s="37">
        <f>+'[1]Opex'!$E$15/21</f>
        <v>1</v>
      </c>
      <c r="E43" s="37">
        <f>+'[1]Opex'!C41</f>
        <v>50</v>
      </c>
      <c r="F43" s="37">
        <f>+'[1]Opex'!D41</f>
        <v>15000</v>
      </c>
      <c r="G43" s="37">
        <f t="shared" si="0"/>
        <v>750000</v>
      </c>
    </row>
    <row r="44" spans="2:7" ht="15.75">
      <c r="B44" s="86" t="str">
        <f>+'[1]Red de Servicio'!C142</f>
        <v>FUSAGASUGA</v>
      </c>
      <c r="C44" s="37" t="str">
        <f>VLOOKUP(B44,'[1]Red de Servicio'!$C$8:$G$1377,5,FALSE)</f>
        <v>H</v>
      </c>
      <c r="D44" s="37">
        <f>+'[1]Opex'!$E$15/21</f>
        <v>1</v>
      </c>
      <c r="E44" s="37">
        <f>+'[1]Opex'!C42</f>
        <v>50</v>
      </c>
      <c r="F44" s="37">
        <f>+'[1]Opex'!D42</f>
        <v>12500</v>
      </c>
      <c r="G44" s="37">
        <f t="shared" si="0"/>
        <v>625000</v>
      </c>
    </row>
    <row r="45" spans="2:7" ht="15.75">
      <c r="B45" s="86" t="str">
        <f>+'[1]Red de Servicio'!C153</f>
        <v>ESPINAL</v>
      </c>
      <c r="C45" s="37" t="str">
        <f>VLOOKUP(B45,'[1]Red de Servicio'!$C$8:$G$1377,5,FALSE)</f>
        <v>G</v>
      </c>
      <c r="D45" s="37">
        <f>+'[1]Opex'!$E$15/21</f>
        <v>1</v>
      </c>
      <c r="E45" s="37">
        <f>+'[1]Opex'!C43</f>
        <v>50</v>
      </c>
      <c r="F45" s="37">
        <f>+'[1]Opex'!D43</f>
        <v>10000</v>
      </c>
      <c r="G45" s="37">
        <f t="shared" si="0"/>
        <v>500000</v>
      </c>
    </row>
    <row r="46" spans="2:7" ht="15.75">
      <c r="B46" s="86" t="s">
        <v>194</v>
      </c>
      <c r="C46" s="37"/>
      <c r="D46" s="37">
        <f>IF('[1]Tablero de Control'!$B$41='[1]Tablero de Control'!$S$53,0,SUM(D21:D45)*'[1]Tablero de Control'!$B$41)</f>
        <v>0</v>
      </c>
      <c r="E46" s="37">
        <f>AVERAGE(E21:E45)</f>
        <v>90.4</v>
      </c>
      <c r="F46" s="37">
        <f>AVERAGE(F21:F45)</f>
        <v>21300</v>
      </c>
      <c r="G46" s="37">
        <f>D46*E46*F46</f>
        <v>0</v>
      </c>
    </row>
    <row r="47" spans="2:8" ht="15.75">
      <c r="B47" s="33" t="s">
        <v>56</v>
      </c>
      <c r="C47" s="44"/>
      <c r="D47" s="44">
        <f>SUM(D21:D46)</f>
        <v>30</v>
      </c>
      <c r="E47" s="44"/>
      <c r="F47" s="45" t="s">
        <v>55</v>
      </c>
      <c r="G47" s="44">
        <f>SUMPRODUCT(D21:D46,G21:G46)</f>
        <v>104575000</v>
      </c>
      <c r="H47" s="96"/>
    </row>
    <row r="48" ht="15.75">
      <c r="B48" s="43" t="s">
        <v>101</v>
      </c>
    </row>
    <row r="49" spans="2:7" ht="15.75">
      <c r="B49" s="72" t="s">
        <v>110</v>
      </c>
      <c r="C49" s="41"/>
      <c r="D49" s="41"/>
      <c r="E49" s="41"/>
      <c r="F49" s="41"/>
      <c r="G49" s="37">
        <f>+$D$47*'[1]Opex'!E46</f>
        <v>7500000</v>
      </c>
    </row>
    <row r="50" spans="2:7" ht="15.75">
      <c r="B50" s="42" t="s">
        <v>53</v>
      </c>
      <c r="C50" s="41"/>
      <c r="D50" s="41"/>
      <c r="E50" s="41"/>
      <c r="F50" s="41"/>
      <c r="G50" s="37">
        <f>+$D$47*'[1]Opex'!E47</f>
        <v>15000000</v>
      </c>
    </row>
    <row r="51" spans="2:7" ht="15.75">
      <c r="B51" s="42" t="s">
        <v>52</v>
      </c>
      <c r="C51" s="41"/>
      <c r="D51" s="41"/>
      <c r="E51" s="41"/>
      <c r="F51" s="41"/>
      <c r="G51" s="37">
        <f>+$D$47*'[1]Opex'!E48</f>
        <v>22500000</v>
      </c>
    </row>
    <row r="52" spans="2:7" ht="15.75">
      <c r="B52" s="42" t="s">
        <v>51</v>
      </c>
      <c r="C52" s="41"/>
      <c r="D52" s="41"/>
      <c r="E52" s="41"/>
      <c r="F52" s="41"/>
      <c r="G52" s="37">
        <f>+$D$47*'[1]Opex'!E49</f>
        <v>30000000</v>
      </c>
    </row>
    <row r="53" spans="2:7" ht="15.75">
      <c r="B53" s="42" t="s">
        <v>50</v>
      </c>
      <c r="C53" s="41"/>
      <c r="D53" s="41"/>
      <c r="E53" s="41"/>
      <c r="F53" s="41"/>
      <c r="G53" s="37">
        <f>+$D$47*'[1]Opex'!E50+IF('[1]Tablero de Control'!$B$59='[1]Tablero de Control'!$S$90,'[1]Opex'!$C$170,0)</f>
        <v>37500000</v>
      </c>
    </row>
    <row r="54" spans="2:7" ht="15.75">
      <c r="B54" s="40" t="s">
        <v>49</v>
      </c>
      <c r="G54" s="39">
        <f>SUM(G47:G53)</f>
        <v>217075000</v>
      </c>
    </row>
    <row r="55" spans="2:10" ht="15.75">
      <c r="B55" s="69" t="s">
        <v>102</v>
      </c>
      <c r="C55" s="141" t="s">
        <v>106</v>
      </c>
      <c r="D55" s="141"/>
      <c r="E55" s="141"/>
      <c r="F55" s="141"/>
      <c r="G55" s="141" t="s">
        <v>103</v>
      </c>
      <c r="H55" s="141"/>
      <c r="I55" s="141"/>
      <c r="J55" s="141"/>
    </row>
    <row r="56" spans="2:10" ht="32.25" customHeight="1">
      <c r="B56" s="62" t="s">
        <v>104</v>
      </c>
      <c r="C56" s="62" t="s">
        <v>48</v>
      </c>
      <c r="D56" s="62" t="s">
        <v>47</v>
      </c>
      <c r="E56" s="62" t="s">
        <v>65</v>
      </c>
      <c r="F56" s="62" t="s">
        <v>118</v>
      </c>
      <c r="G56" s="62" t="s">
        <v>48</v>
      </c>
      <c r="H56" s="62" t="s">
        <v>47</v>
      </c>
      <c r="I56" s="62" t="s">
        <v>65</v>
      </c>
      <c r="J56" s="62" t="s">
        <v>118</v>
      </c>
    </row>
    <row r="57" ht="15.75">
      <c r="B57" s="74" t="s">
        <v>19</v>
      </c>
    </row>
    <row r="58" spans="2:10" ht="15.75">
      <c r="B58" s="36" t="s">
        <v>46</v>
      </c>
      <c r="C58" s="37">
        <f>+'[1]Capex'!$C$9*D47</f>
        <v>1500</v>
      </c>
      <c r="D58" s="34">
        <f>+'[1]Capex'!$D$9</f>
        <v>120000</v>
      </c>
      <c r="E58" s="34">
        <f>C58*D58</f>
        <v>180000000</v>
      </c>
      <c r="F58" s="34">
        <f>+E58*'[1]Financieros'!$C$147</f>
        <v>18000000</v>
      </c>
      <c r="G58" s="37">
        <f>+'[1]Capex'!$C$9*D47</f>
        <v>1500</v>
      </c>
      <c r="H58" s="34">
        <f>+'[1]Capex'!$D$9</f>
        <v>120000</v>
      </c>
      <c r="I58" s="34">
        <f>G58*H58</f>
        <v>180000000</v>
      </c>
      <c r="J58" s="34">
        <f>+I58*'[1]Financieros'!$C$147</f>
        <v>18000000</v>
      </c>
    </row>
    <row r="59" spans="2:10" ht="15.75">
      <c r="B59" s="36" t="s">
        <v>45</v>
      </c>
      <c r="C59" s="37">
        <f>+'[1]Capex'!$C$10*D47</f>
        <v>300</v>
      </c>
      <c r="D59" s="34">
        <f>+'[1]Capex'!$D$10</f>
        <v>360000</v>
      </c>
      <c r="E59" s="34">
        <f>C59*D59</f>
        <v>108000000</v>
      </c>
      <c r="F59" s="34">
        <f>+E59*'[1]Financieros'!$C$147</f>
        <v>10800000</v>
      </c>
      <c r="G59" s="37">
        <f>+'[1]Capex'!$C$10*D47</f>
        <v>300</v>
      </c>
      <c r="H59" s="34">
        <f>+'[1]Capex'!$D$10</f>
        <v>360000</v>
      </c>
      <c r="I59" s="34">
        <f>G59*H59</f>
        <v>108000000</v>
      </c>
      <c r="J59" s="34">
        <f>+I59*'[1]Financieros'!$C$147</f>
        <v>10800000</v>
      </c>
    </row>
    <row r="60" spans="2:10" ht="15.75">
      <c r="B60" s="36" t="s">
        <v>44</v>
      </c>
      <c r="C60" s="37">
        <f>+'[1]Capex'!$C$11*D47</f>
        <v>900</v>
      </c>
      <c r="D60" s="34">
        <f>+'[1]Capex'!$D$11</f>
        <v>36000</v>
      </c>
      <c r="E60" s="34">
        <f>C60*D60</f>
        <v>32400000</v>
      </c>
      <c r="F60" s="34">
        <f>+E60*'[1]Financieros'!$C$147</f>
        <v>3240000</v>
      </c>
      <c r="G60" s="37">
        <f>+'[1]Capex'!$C$11*D47</f>
        <v>900</v>
      </c>
      <c r="H60" s="34">
        <f>+'[1]Capex'!$D$11</f>
        <v>36000</v>
      </c>
      <c r="I60" s="34">
        <f>G60*H60</f>
        <v>32400000</v>
      </c>
      <c r="J60" s="34">
        <f>+I60*'[1]Financieros'!$C$147</f>
        <v>3240000</v>
      </c>
    </row>
    <row r="61" spans="2:10" ht="15.75">
      <c r="B61" s="36" t="s">
        <v>43</v>
      </c>
      <c r="C61" s="37">
        <f>+'[1]Operadores'!$W$9</f>
        <v>0</v>
      </c>
      <c r="D61" s="34">
        <f>+'[1]Capex'!$D$21</f>
        <v>170000</v>
      </c>
      <c r="E61" s="34">
        <f>C61*D61</f>
        <v>0</v>
      </c>
      <c r="F61" s="34">
        <f>+E61*'[1]Financieros'!$C$147</f>
        <v>0</v>
      </c>
      <c r="G61" s="37">
        <f>+$C$16</f>
        <v>549</v>
      </c>
      <c r="H61" s="34">
        <f>+'[1]Capex'!$D$21</f>
        <v>170000</v>
      </c>
      <c r="I61" s="34">
        <f>G61*H61</f>
        <v>93330000</v>
      </c>
      <c r="J61" s="34">
        <f>+I61*'[1]Financieros'!$C$147</f>
        <v>9333000</v>
      </c>
    </row>
    <row r="62" spans="2:10" ht="15.75">
      <c r="B62" s="36" t="s">
        <v>42</v>
      </c>
      <c r="C62" s="37">
        <f>+'[1]Operadores'!$W$9</f>
        <v>0</v>
      </c>
      <c r="D62" s="34">
        <f>+'[1]Capex'!$D$22</f>
        <v>70000</v>
      </c>
      <c r="E62" s="34">
        <f>C62*D62</f>
        <v>0</v>
      </c>
      <c r="F62" s="34">
        <f>+E62*'[1]Financieros'!$C$147</f>
        <v>0</v>
      </c>
      <c r="G62" s="37">
        <f>+$C$16</f>
        <v>549</v>
      </c>
      <c r="H62" s="34">
        <f>+'[1]Capex'!$D$22</f>
        <v>70000</v>
      </c>
      <c r="I62" s="34">
        <f>G62*H62</f>
        <v>38430000</v>
      </c>
      <c r="J62" s="34">
        <f>+I62*'[1]Financieros'!$C$147</f>
        <v>3843000</v>
      </c>
    </row>
    <row r="63" spans="2:10" ht="15.75">
      <c r="B63" s="33" t="s">
        <v>17</v>
      </c>
      <c r="C63" s="33"/>
      <c r="D63" s="33"/>
      <c r="E63" s="32">
        <f>SUM(E58:E62)</f>
        <v>320400000</v>
      </c>
      <c r="F63" s="32">
        <f>SUM(F58:F62)</f>
        <v>32040000</v>
      </c>
      <c r="G63" s="33"/>
      <c r="H63" s="33"/>
      <c r="I63" s="32">
        <f>SUM(I58:I62)</f>
        <v>452160000</v>
      </c>
      <c r="J63" s="32">
        <f>SUM(J58:J62)</f>
        <v>45216000</v>
      </c>
    </row>
    <row r="64" ht="15.75">
      <c r="B64" s="74" t="s">
        <v>120</v>
      </c>
    </row>
    <row r="65" spans="2:10" ht="15.75">
      <c r="B65" s="36" t="s">
        <v>119</v>
      </c>
      <c r="C65" s="37">
        <f>+'[1]Operadores'!$W$9</f>
        <v>0</v>
      </c>
      <c r="D65" s="34">
        <f>+'[1]Capex'!$D$24</f>
        <v>2400000</v>
      </c>
      <c r="E65" s="34">
        <f>C65*D65</f>
        <v>0</v>
      </c>
      <c r="F65" s="34">
        <f>+E65*'[1]Financieros'!$C$148</f>
        <v>0</v>
      </c>
      <c r="G65" s="37">
        <f>+$C$16</f>
        <v>549</v>
      </c>
      <c r="H65" s="34">
        <f>+'[1]Capex'!$D$24</f>
        <v>2400000</v>
      </c>
      <c r="I65" s="34">
        <f>G65*H65</f>
        <v>1317600000</v>
      </c>
      <c r="J65" s="34">
        <f>+I65*'[1]Financieros'!$C$148</f>
        <v>263520000</v>
      </c>
    </row>
    <row r="66" spans="2:10" ht="15.75">
      <c r="B66" s="36" t="s">
        <v>41</v>
      </c>
      <c r="C66" s="35">
        <f>+'[1]Capex'!$C$13*D47</f>
        <v>150</v>
      </c>
      <c r="D66" s="34">
        <f>+'[1]Capex'!$D$13</f>
        <v>300000</v>
      </c>
      <c r="E66" s="34">
        <f>C66*D66</f>
        <v>45000000</v>
      </c>
      <c r="F66" s="34">
        <f>+E66*'[1]Financieros'!$C$148</f>
        <v>9000000</v>
      </c>
      <c r="G66" s="35">
        <f>+'[1]Capex'!$C$13*D47</f>
        <v>150</v>
      </c>
      <c r="H66" s="34">
        <f>+'[1]Capex'!$D$13</f>
        <v>300000</v>
      </c>
      <c r="I66" s="34">
        <f>G66*H66</f>
        <v>45000000</v>
      </c>
      <c r="J66" s="34">
        <f>+I66*'[1]Financieros'!$C$148</f>
        <v>9000000</v>
      </c>
    </row>
    <row r="67" spans="2:10" ht="15.75">
      <c r="B67" s="36" t="s">
        <v>40</v>
      </c>
      <c r="C67" s="35">
        <f>+'[1]Capex'!$C$14*D47</f>
        <v>150</v>
      </c>
      <c r="D67" s="34">
        <f>+'[1]Capex'!$D$14</f>
        <v>460000</v>
      </c>
      <c r="E67" s="34">
        <f>C67*D67</f>
        <v>69000000</v>
      </c>
      <c r="F67" s="34">
        <f>+E67*'[1]Financieros'!$C$148</f>
        <v>13800000</v>
      </c>
      <c r="G67" s="35">
        <f>+'[1]Capex'!$C$14*D47</f>
        <v>150</v>
      </c>
      <c r="H67" s="34">
        <f>+'[1]Capex'!$D$14</f>
        <v>460000</v>
      </c>
      <c r="I67" s="34">
        <f>G67*H67</f>
        <v>69000000</v>
      </c>
      <c r="J67" s="34">
        <f>+I67*'[1]Financieros'!$C$148</f>
        <v>13800000</v>
      </c>
    </row>
    <row r="68" spans="2:10" ht="15.75">
      <c r="B68" s="36" t="s">
        <v>115</v>
      </c>
      <c r="C68" s="35">
        <f>+'[1]Capex'!$C$14*D47</f>
        <v>150</v>
      </c>
      <c r="D68" s="34">
        <f>+'[1]Capex'!$D$15</f>
        <v>800000</v>
      </c>
      <c r="E68" s="34">
        <f>C68*D68</f>
        <v>120000000</v>
      </c>
      <c r="F68" s="34">
        <f>+E68*'[1]Financieros'!$C$148</f>
        <v>24000000</v>
      </c>
      <c r="G68" s="35">
        <f>+'[1]Capex'!$C$14*D47</f>
        <v>150</v>
      </c>
      <c r="H68" s="34">
        <f>+'[1]Capex'!$D$15</f>
        <v>800000</v>
      </c>
      <c r="I68" s="34">
        <f>G68*H68</f>
        <v>120000000</v>
      </c>
      <c r="J68" s="34">
        <f>+I68*'[1]Financieros'!$C$148</f>
        <v>24000000</v>
      </c>
    </row>
    <row r="69" spans="2:10" ht="15.75">
      <c r="B69" s="56" t="s">
        <v>203</v>
      </c>
      <c r="C69" s="35"/>
      <c r="D69" s="34"/>
      <c r="E69" s="34"/>
      <c r="F69" s="34"/>
      <c r="G69" s="35"/>
      <c r="H69" s="34"/>
      <c r="I69" s="34"/>
      <c r="J69" s="34"/>
    </row>
    <row r="70" spans="2:10" ht="15.75">
      <c r="B70" s="122" t="s">
        <v>204</v>
      </c>
      <c r="C70" s="35"/>
      <c r="D70" s="34"/>
      <c r="E70" s="34"/>
      <c r="F70" s="34"/>
      <c r="G70" s="35">
        <f>IF('[1]Tablero de Control'!$B$47='[1]Tablero de Control'!$S$65,0,'[1]Capex'!$C$160)*D47</f>
        <v>0</v>
      </c>
      <c r="H70" s="34">
        <f>IF('[1]Tablero de Control'!$B$47='[1]Tablero de Control'!$S$65,0,'[1]Capex'!$D$160)</f>
        <v>0</v>
      </c>
      <c r="I70" s="34">
        <f>G70*H70</f>
        <v>0</v>
      </c>
      <c r="J70" s="34">
        <f>+I70*'[1]Financieros'!$C$148</f>
        <v>0</v>
      </c>
    </row>
    <row r="71" spans="2:10" ht="15.75">
      <c r="B71" s="33" t="s">
        <v>122</v>
      </c>
      <c r="C71" s="33"/>
      <c r="D71" s="33"/>
      <c r="E71" s="32">
        <f>SUM(E65:E70)</f>
        <v>234000000</v>
      </c>
      <c r="F71" s="32">
        <f>SUM(F65:F70)</f>
        <v>46800000</v>
      </c>
      <c r="G71" s="33"/>
      <c r="H71" s="33"/>
      <c r="I71" s="32">
        <f>SUM(I65:I70)</f>
        <v>1551600000</v>
      </c>
      <c r="J71" s="32">
        <f>SUM(J65:J70)</f>
        <v>310320000</v>
      </c>
    </row>
    <row r="72" ht="15.75">
      <c r="B72" s="74" t="s">
        <v>18</v>
      </c>
    </row>
    <row r="73" spans="2:10" ht="15.75">
      <c r="B73" s="36" t="s">
        <v>39</v>
      </c>
      <c r="C73" s="35">
        <f>+'[1]Capex'!$C$17*D47</f>
        <v>30</v>
      </c>
      <c r="D73" s="34">
        <f>+'[1]Capex'!$D$17</f>
        <v>480000</v>
      </c>
      <c r="E73" s="34">
        <f>C73*D73</f>
        <v>14400000</v>
      </c>
      <c r="F73" s="34">
        <f>+E73*'[1]Financieros'!$C$149</f>
        <v>2880000</v>
      </c>
      <c r="G73" s="35">
        <f>+'[1]Capex'!$C$17*D47</f>
        <v>30</v>
      </c>
      <c r="H73" s="34">
        <f>+'[1]Capex'!$D$17</f>
        <v>480000</v>
      </c>
      <c r="I73" s="34">
        <f>G73*H73</f>
        <v>14400000</v>
      </c>
      <c r="J73" s="34">
        <f>+I73*'[1]Financieros'!$C$149</f>
        <v>2880000</v>
      </c>
    </row>
    <row r="74" spans="2:10" ht="15.75">
      <c r="B74" s="36" t="s">
        <v>38</v>
      </c>
      <c r="C74" s="35">
        <f>+'[1]Capex'!$C$18*D47</f>
        <v>30</v>
      </c>
      <c r="D74" s="34">
        <f>+'[1]Capex'!$D$18</f>
        <v>600000</v>
      </c>
      <c r="E74" s="34">
        <f>C74*D74</f>
        <v>18000000</v>
      </c>
      <c r="F74" s="34">
        <f>+E74*'[1]Financieros'!$C$149</f>
        <v>3600000</v>
      </c>
      <c r="G74" s="35">
        <f>+'[1]Capex'!$C$18*D47</f>
        <v>30</v>
      </c>
      <c r="H74" s="34">
        <f>+'[1]Capex'!$D$18</f>
        <v>600000</v>
      </c>
      <c r="I74" s="34">
        <f>G74*H74</f>
        <v>18000000</v>
      </c>
      <c r="J74" s="34">
        <f>+I74*'[1]Financieros'!$C$149</f>
        <v>3600000</v>
      </c>
    </row>
    <row r="75" spans="2:10" ht="15.75">
      <c r="B75" s="33" t="s">
        <v>16</v>
      </c>
      <c r="C75" s="33"/>
      <c r="D75" s="33"/>
      <c r="E75" s="32">
        <f>SUM(E73:E74)</f>
        <v>32400000</v>
      </c>
      <c r="F75" s="32">
        <f>+E75*'[1]Financieros'!$C$149</f>
        <v>6480000</v>
      </c>
      <c r="G75" s="33"/>
      <c r="H75" s="33"/>
      <c r="I75" s="32">
        <f>SUM(I73:I74)</f>
        <v>32400000</v>
      </c>
      <c r="J75" s="32">
        <f>+I75*'[1]Financieros'!$C$149</f>
        <v>6480000</v>
      </c>
    </row>
    <row r="76" spans="2:10" ht="15.75">
      <c r="B76" s="71" t="s">
        <v>105</v>
      </c>
      <c r="F76" s="39">
        <f>+F75+F71+F63</f>
        <v>85320000</v>
      </c>
      <c r="J76" s="39">
        <f>+J75+J71+J63</f>
        <v>362016000</v>
      </c>
    </row>
    <row r="77" ht="4.5" customHeight="1"/>
    <row r="78" spans="2:16" ht="15.75">
      <c r="B78" s="77" t="s">
        <v>221</v>
      </c>
      <c r="C78" s="78"/>
      <c r="D78" s="78"/>
      <c r="E78" s="78"/>
      <c r="F78" s="78"/>
      <c r="G78" s="78"/>
      <c r="H78" s="78"/>
      <c r="I78" s="78"/>
      <c r="J78" s="77" t="s">
        <v>222</v>
      </c>
      <c r="K78" s="78"/>
      <c r="L78" s="78"/>
      <c r="M78" s="78"/>
      <c r="N78" s="78"/>
      <c r="O78" s="78"/>
      <c r="P78" s="75"/>
    </row>
    <row r="79" spans="2:16" ht="34.5" customHeight="1">
      <c r="B79" s="76" t="s">
        <v>37</v>
      </c>
      <c r="C79" s="148" t="s">
        <v>196</v>
      </c>
      <c r="D79" s="145"/>
      <c r="E79" s="146"/>
      <c r="F79" s="147"/>
      <c r="G79" s="142" t="s">
        <v>85</v>
      </c>
      <c r="H79" s="143"/>
      <c r="I79" s="144"/>
      <c r="J79" s="148" t="s">
        <v>196</v>
      </c>
      <c r="K79" s="145"/>
      <c r="L79" s="146"/>
      <c r="M79" s="147"/>
      <c r="N79" s="142" t="s">
        <v>85</v>
      </c>
      <c r="O79" s="143"/>
      <c r="P79" s="144"/>
    </row>
    <row r="80" spans="2:16" ht="31.5" customHeight="1">
      <c r="B80" s="69" t="s">
        <v>108</v>
      </c>
      <c r="C80" s="149"/>
      <c r="D80" s="70"/>
      <c r="E80" s="70"/>
      <c r="F80" s="70"/>
      <c r="G80" s="70" t="s">
        <v>111</v>
      </c>
      <c r="H80" s="70" t="s">
        <v>112</v>
      </c>
      <c r="I80" s="70" t="s">
        <v>36</v>
      </c>
      <c r="J80" s="149"/>
      <c r="K80" s="70"/>
      <c r="L80" s="70"/>
      <c r="M80" s="70"/>
      <c r="N80" s="70" t="s">
        <v>111</v>
      </c>
      <c r="O80" s="70" t="s">
        <v>112</v>
      </c>
      <c r="P80" s="70" t="s">
        <v>36</v>
      </c>
    </row>
    <row r="81" spans="2:16" ht="15.75">
      <c r="B81" s="31" t="s">
        <v>34</v>
      </c>
      <c r="C81" s="27">
        <f>SUMIF('[1]Red de Servicio'!$G$8:$G$1377,"A",'[1]Red de Servicio'!$R$8:$R$1377)</f>
        <v>0</v>
      </c>
      <c r="D81" s="27"/>
      <c r="E81" s="73"/>
      <c r="F81" s="26"/>
      <c r="G81" s="27">
        <f>+C81*H81</f>
        <v>0</v>
      </c>
      <c r="H81" s="27">
        <f>+'[1]Opex'!$D$55</f>
        <v>1</v>
      </c>
      <c r="I81" s="26">
        <f>+H81*C81*'[1]Opex'!$E$55</f>
        <v>0</v>
      </c>
      <c r="J81" s="27">
        <f>SUMIF('[1]Red de Servicio'!$G$8:$G$1377,"A",'[1]Red de Servicio'!$X$8:$X$1377)</f>
        <v>10</v>
      </c>
      <c r="K81" s="27"/>
      <c r="L81" s="27"/>
      <c r="M81" s="26"/>
      <c r="N81" s="27">
        <f>+J81*O81</f>
        <v>10</v>
      </c>
      <c r="O81" s="27">
        <f>+'[1]Opex'!$D$55</f>
        <v>1</v>
      </c>
      <c r="P81" s="26">
        <f>+O81*J81*'[1]Opex'!$E$55</f>
        <v>8820450</v>
      </c>
    </row>
    <row r="82" spans="2:16" ht="15.75">
      <c r="B82" s="31" t="s">
        <v>33</v>
      </c>
      <c r="C82" s="27">
        <f>SUMIF('[1]Red de Servicio'!$G$8:$G$1377,"B",'[1]Red de Servicio'!$R$8:$R$1377)</f>
        <v>10</v>
      </c>
      <c r="D82" s="27"/>
      <c r="E82" s="73"/>
      <c r="F82" s="26"/>
      <c r="G82" s="27">
        <f aca="true" t="shared" si="1" ref="G82:G94">+C82*H82</f>
        <v>10</v>
      </c>
      <c r="H82" s="27">
        <f>+'[1]Opex'!$D$55</f>
        <v>1</v>
      </c>
      <c r="I82" s="26">
        <f>+H82*C82*'[1]Opex'!$E$55</f>
        <v>8820450</v>
      </c>
      <c r="J82" s="27">
        <f>SUMIF('[1]Red de Servicio'!$G$8:$G$1377,"B",'[1]Red de Servicio'!$X$8:$X$1377)</f>
        <v>38</v>
      </c>
      <c r="K82" s="27"/>
      <c r="L82" s="27"/>
      <c r="M82" s="26"/>
      <c r="N82" s="27">
        <f aca="true" t="shared" si="2" ref="N82:N96">+J82*O82</f>
        <v>38</v>
      </c>
      <c r="O82" s="27">
        <f>+'[1]Opex'!$D$55</f>
        <v>1</v>
      </c>
      <c r="P82" s="26">
        <f>+O82*J82*'[1]Opex'!$E$55</f>
        <v>33517710</v>
      </c>
    </row>
    <row r="83" spans="2:16" ht="15.75">
      <c r="B83" s="31" t="s">
        <v>32</v>
      </c>
      <c r="C83" s="27">
        <f>SUMIF('[1]Red de Servicio'!$G$8:$G$1377,"C",'[1]Red de Servicio'!$R$8:$R$1377)</f>
        <v>5</v>
      </c>
      <c r="D83" s="27"/>
      <c r="E83" s="73"/>
      <c r="F83" s="26"/>
      <c r="G83" s="27">
        <f t="shared" si="1"/>
        <v>5</v>
      </c>
      <c r="H83" s="27">
        <f>+'[1]Opex'!$D$55</f>
        <v>1</v>
      </c>
      <c r="I83" s="26">
        <f>+H83*C83*'[1]Opex'!$E$55</f>
        <v>4410225</v>
      </c>
      <c r="J83" s="27">
        <f>SUMIF('[1]Red de Servicio'!$G$8:$G$1377,"C",'[1]Red de Servicio'!$X$8:$X$1377)</f>
        <v>27</v>
      </c>
      <c r="K83" s="27"/>
      <c r="L83" s="27"/>
      <c r="M83" s="26"/>
      <c r="N83" s="27">
        <f t="shared" si="2"/>
        <v>27</v>
      </c>
      <c r="O83" s="27">
        <f>+'[1]Opex'!$D$55</f>
        <v>1</v>
      </c>
      <c r="P83" s="26">
        <f>+O83*J83*'[1]Opex'!$E$55</f>
        <v>23815215</v>
      </c>
    </row>
    <row r="84" spans="2:16" ht="15.75">
      <c r="B84" s="31" t="s">
        <v>31</v>
      </c>
      <c r="C84" s="27">
        <f>SUMIF('[1]Red de Servicio'!$G$8:$G$1377,"D",'[1]Red de Servicio'!$R$8:$R$1377)</f>
        <v>6</v>
      </c>
      <c r="D84" s="27"/>
      <c r="E84" s="73"/>
      <c r="F84" s="26"/>
      <c r="G84" s="27">
        <f t="shared" si="1"/>
        <v>6</v>
      </c>
      <c r="H84" s="27">
        <f>+'[1]Opex'!$D$55</f>
        <v>1</v>
      </c>
      <c r="I84" s="26">
        <f>+H84*C84*'[1]Opex'!$E$55</f>
        <v>5292270</v>
      </c>
      <c r="J84" s="27">
        <f>SUMIF('[1]Red de Servicio'!$G$8:$G$1377,"D",'[1]Red de Servicio'!$X$8:$X$1377)</f>
        <v>84</v>
      </c>
      <c r="K84" s="27"/>
      <c r="L84" s="27"/>
      <c r="M84" s="26"/>
      <c r="N84" s="27">
        <f t="shared" si="2"/>
        <v>84</v>
      </c>
      <c r="O84" s="27">
        <f>+'[1]Opex'!$D$55</f>
        <v>1</v>
      </c>
      <c r="P84" s="26">
        <f>+O84*J84*'[1]Opex'!$E$55</f>
        <v>74091780</v>
      </c>
    </row>
    <row r="85" spans="2:16" ht="15.75">
      <c r="B85" s="31" t="s">
        <v>30</v>
      </c>
      <c r="C85" s="27">
        <f>SUMIF('[1]Red de Servicio'!$G$8:$G$1377,"E",'[1]Red de Servicio'!$R$8:$R$1377)</f>
        <v>14</v>
      </c>
      <c r="D85" s="27"/>
      <c r="E85" s="73"/>
      <c r="F85" s="26"/>
      <c r="G85" s="27">
        <f t="shared" si="1"/>
        <v>14</v>
      </c>
      <c r="H85" s="27">
        <f>+'[1]Opex'!$D$55</f>
        <v>1</v>
      </c>
      <c r="I85" s="26">
        <f>+H85*C85*'[1]Opex'!$E$55</f>
        <v>12348630</v>
      </c>
      <c r="J85" s="27">
        <f>SUMIF('[1]Red de Servicio'!$G$8:$G$1377,"E",'[1]Red de Servicio'!$X$8:$X$1377)</f>
        <v>135</v>
      </c>
      <c r="K85" s="27"/>
      <c r="L85" s="27"/>
      <c r="M85" s="26"/>
      <c r="N85" s="27">
        <f t="shared" si="2"/>
        <v>135</v>
      </c>
      <c r="O85" s="27">
        <f>+'[1]Opex'!$D$55</f>
        <v>1</v>
      </c>
      <c r="P85" s="26">
        <f>+O85*J85*'[1]Opex'!$E$55</f>
        <v>119076075</v>
      </c>
    </row>
    <row r="86" spans="2:16" ht="15.75">
      <c r="B86" s="31" t="s">
        <v>29</v>
      </c>
      <c r="C86" s="27">
        <f>SUMIF('[1]Red de Servicio'!$G$8:$G$1377,"F",'[1]Red de Servicio'!$R$8:$R$1377)</f>
        <v>85</v>
      </c>
      <c r="D86" s="27"/>
      <c r="E86" s="73"/>
      <c r="F86" s="26"/>
      <c r="G86" s="27">
        <f t="shared" si="1"/>
        <v>85</v>
      </c>
      <c r="H86" s="27">
        <f>+'[1]Opex'!$D$55</f>
        <v>1</v>
      </c>
      <c r="I86" s="26">
        <f>+H86*C86*'[1]Opex'!$E$55</f>
        <v>74973825</v>
      </c>
      <c r="J86" s="27">
        <f>SUMIF('[1]Red de Servicio'!$G$8:$G$1377,"F",'[1]Red de Servicio'!$X$8:$X$1377)</f>
        <v>220</v>
      </c>
      <c r="K86" s="27"/>
      <c r="L86" s="27"/>
      <c r="M86" s="26"/>
      <c r="N86" s="27">
        <f t="shared" si="2"/>
        <v>220</v>
      </c>
      <c r="O86" s="27">
        <f>+'[1]Opex'!$D$55</f>
        <v>1</v>
      </c>
      <c r="P86" s="26">
        <f>+O86*J86*'[1]Opex'!$E$55</f>
        <v>194049900</v>
      </c>
    </row>
    <row r="87" spans="2:16" ht="15.75">
      <c r="B87" s="31" t="s">
        <v>28</v>
      </c>
      <c r="C87" s="27">
        <f>SUMIF('[1]Red de Servicio'!$G$8:$G$1377,"G",'[1]Red de Servicio'!$R$8:$R$1377)</f>
        <v>169</v>
      </c>
      <c r="D87" s="27"/>
      <c r="E87" s="73"/>
      <c r="F87" s="26"/>
      <c r="G87" s="27">
        <f t="shared" si="1"/>
        <v>169</v>
      </c>
      <c r="H87" s="27">
        <f>+'[1]Opex'!$D$55</f>
        <v>1</v>
      </c>
      <c r="I87" s="26">
        <f>+H87*C87*'[1]Opex'!$E$55</f>
        <v>149065605</v>
      </c>
      <c r="J87" s="27">
        <f>SUMIF('[1]Red de Servicio'!$G$8:$G$1377,"G",'[1]Red de Servicio'!$X$8:$X$1377)</f>
        <v>245</v>
      </c>
      <c r="K87" s="27"/>
      <c r="L87" s="27"/>
      <c r="M87" s="26"/>
      <c r="N87" s="27">
        <f t="shared" si="2"/>
        <v>245</v>
      </c>
      <c r="O87" s="27">
        <f>+'[1]Opex'!$D$55</f>
        <v>1</v>
      </c>
      <c r="P87" s="26">
        <f>+O87*J87*'[1]Opex'!$E$55</f>
        <v>216101025</v>
      </c>
    </row>
    <row r="88" spans="2:16" ht="15.75">
      <c r="B88" s="31" t="s">
        <v>27</v>
      </c>
      <c r="C88" s="27">
        <f>SUMIF('[1]Red de Servicio'!$G$8:$G$1377,"H",'[1]Red de Servicio'!$R$8:$R$1377)</f>
        <v>28</v>
      </c>
      <c r="D88" s="27"/>
      <c r="E88" s="73"/>
      <c r="F88" s="26"/>
      <c r="G88" s="27">
        <f t="shared" si="1"/>
        <v>28</v>
      </c>
      <c r="H88" s="27">
        <f>+'[1]Opex'!$D$55</f>
        <v>1</v>
      </c>
      <c r="I88" s="26">
        <f>+H88*C88*'[1]Opex'!$E$55</f>
        <v>24697260</v>
      </c>
      <c r="J88" s="27">
        <f>SUMIF('[1]Red de Servicio'!$G$8:$G$1377,"H",'[1]Red de Servicio'!$X$8:$X$1377)</f>
        <v>46</v>
      </c>
      <c r="K88" s="27"/>
      <c r="L88" s="27"/>
      <c r="M88" s="26"/>
      <c r="N88" s="27">
        <f t="shared" si="2"/>
        <v>46</v>
      </c>
      <c r="O88" s="27">
        <f>+'[1]Opex'!$D$55</f>
        <v>1</v>
      </c>
      <c r="P88" s="26">
        <f>+O88*J88*'[1]Opex'!$E$55</f>
        <v>40574070</v>
      </c>
    </row>
    <row r="89" spans="2:16" ht="15.75">
      <c r="B89" s="31" t="s">
        <v>26</v>
      </c>
      <c r="C89" s="27">
        <f>SUMIF('[1]Red de Servicio'!$G$8:$G$1377,"I",'[1]Red de Servicio'!$R$8:$R$1377)</f>
        <v>19</v>
      </c>
      <c r="D89" s="27"/>
      <c r="E89" s="73"/>
      <c r="F89" s="26"/>
      <c r="G89" s="27">
        <f t="shared" si="1"/>
        <v>19</v>
      </c>
      <c r="H89" s="27">
        <f>+'[1]Opex'!$D$56+'[1]Opex'!$D$57</f>
        <v>1</v>
      </c>
      <c r="I89" s="26">
        <f>+H89*C89*'[1]Opex'!$E$55</f>
        <v>16758855</v>
      </c>
      <c r="J89" s="27">
        <f>SUMIF('[1]Red de Servicio'!$G$8:$G$1377,"I",'[1]Red de Servicio'!$X$8:$X$1377)</f>
        <v>30</v>
      </c>
      <c r="K89" s="27"/>
      <c r="L89" s="27"/>
      <c r="M89" s="26"/>
      <c r="N89" s="27">
        <f t="shared" si="2"/>
        <v>30</v>
      </c>
      <c r="O89" s="27">
        <v>1</v>
      </c>
      <c r="P89" s="26">
        <f>+O89*J89*'[1]Opex'!$E$55</f>
        <v>26461350</v>
      </c>
    </row>
    <row r="90" spans="2:16" ht="15.75">
      <c r="B90" s="31" t="s">
        <v>25</v>
      </c>
      <c r="C90" s="27">
        <f>SUMIF('[1]Red de Servicio'!$G$8:$G$1377,"J",'[1]Red de Servicio'!$R$8:$R$1377)</f>
        <v>34</v>
      </c>
      <c r="D90" s="27"/>
      <c r="E90" s="73"/>
      <c r="F90" s="26"/>
      <c r="G90" s="27">
        <f t="shared" si="1"/>
        <v>34</v>
      </c>
      <c r="H90" s="27">
        <f>+'[1]Opex'!$D$56+'[1]Opex'!$D$57</f>
        <v>1</v>
      </c>
      <c r="I90" s="26">
        <f>+H90*C90*'[1]Opex'!$E$55</f>
        <v>29989530</v>
      </c>
      <c r="J90" s="27">
        <f>SUMIF('[1]Red de Servicio'!$G$8:$G$1377,"J",'[1]Red de Servicio'!$X$8:$X$1377)</f>
        <v>52</v>
      </c>
      <c r="K90" s="27"/>
      <c r="L90" s="27"/>
      <c r="M90" s="26"/>
      <c r="N90" s="27">
        <f t="shared" si="2"/>
        <v>52</v>
      </c>
      <c r="O90" s="27">
        <v>1</v>
      </c>
      <c r="P90" s="26">
        <f>+O90*J90*'[1]Opex'!$E$55</f>
        <v>45866340</v>
      </c>
    </row>
    <row r="91" spans="2:16" ht="15.75">
      <c r="B91" s="31" t="s">
        <v>24</v>
      </c>
      <c r="C91" s="27">
        <f>SUMIF('[1]Red de Servicio'!$G$8:$G$1377,"K",'[1]Red de Servicio'!$R$8:$R$1377)</f>
        <v>26</v>
      </c>
      <c r="D91" s="27"/>
      <c r="E91" s="73"/>
      <c r="F91" s="26"/>
      <c r="G91" s="27">
        <f t="shared" si="1"/>
        <v>26</v>
      </c>
      <c r="H91" s="27">
        <f>+'[1]Opex'!$D$56+'[1]Opex'!$D$57</f>
        <v>1</v>
      </c>
      <c r="I91" s="26">
        <f>+H91*C91*'[1]Opex'!$E$55</f>
        <v>22933170</v>
      </c>
      <c r="J91" s="27">
        <f>SUMIF('[1]Red de Servicio'!$G$8:$G$1377,"K",'[1]Red de Servicio'!$X$8:$X$1377)</f>
        <v>39</v>
      </c>
      <c r="K91" s="27"/>
      <c r="L91" s="27"/>
      <c r="M91" s="26"/>
      <c r="N91" s="27">
        <f t="shared" si="2"/>
        <v>39</v>
      </c>
      <c r="O91" s="27">
        <v>1</v>
      </c>
      <c r="P91" s="26">
        <f>+O91*J91*'[1]Opex'!$E$55</f>
        <v>34399755</v>
      </c>
    </row>
    <row r="92" spans="2:16" ht="15.75">
      <c r="B92" s="31" t="s">
        <v>23</v>
      </c>
      <c r="C92" s="27">
        <f>SUMIF('[1]Red de Servicio'!$G$8:$G$1377,"L",'[1]Red de Servicio'!$R$8:$R$1377)</f>
        <v>70</v>
      </c>
      <c r="D92" s="27"/>
      <c r="E92" s="73"/>
      <c r="F92" s="26"/>
      <c r="G92" s="27">
        <f t="shared" si="1"/>
        <v>70</v>
      </c>
      <c r="H92" s="27">
        <f>+'[1]Opex'!$D$56+'[1]Opex'!$D$57</f>
        <v>1</v>
      </c>
      <c r="I92" s="26">
        <f>+H92*C92*'[1]Opex'!$E$55</f>
        <v>61743150</v>
      </c>
      <c r="J92" s="27">
        <f>SUMIF('[1]Red de Servicio'!$G$8:$G$1377,"L",'[1]Red de Servicio'!$X$8:$X$1377)</f>
        <v>86</v>
      </c>
      <c r="K92" s="27"/>
      <c r="L92" s="27"/>
      <c r="M92" s="26"/>
      <c r="N92" s="27">
        <f t="shared" si="2"/>
        <v>86</v>
      </c>
      <c r="O92" s="27">
        <v>1</v>
      </c>
      <c r="P92" s="26">
        <f>+O92*J92*'[1]Opex'!$E$55</f>
        <v>75855870</v>
      </c>
    </row>
    <row r="93" spans="2:16" ht="15.75">
      <c r="B93" s="31" t="s">
        <v>22</v>
      </c>
      <c r="C93" s="27">
        <f>SUMIF('[1]Red de Servicio'!$G$8:$G$1377,"M",'[1]Red de Servicio'!$R$8:$R$1377)</f>
        <v>184</v>
      </c>
      <c r="D93" s="27"/>
      <c r="E93" s="73"/>
      <c r="F93" s="26"/>
      <c r="G93" s="27">
        <f t="shared" si="1"/>
        <v>184</v>
      </c>
      <c r="H93" s="27">
        <f>+'[1]Opex'!$D$56+'[1]Opex'!$D$57</f>
        <v>1</v>
      </c>
      <c r="I93" s="26">
        <f>+H93*C93*'[1]Opex'!$E$55</f>
        <v>162296280</v>
      </c>
      <c r="J93" s="27">
        <f>SUMIF('[1]Red de Servicio'!$G$8:$G$1377,"M",'[1]Red de Servicio'!$X$8:$X$1377)</f>
        <v>249</v>
      </c>
      <c r="K93" s="27"/>
      <c r="L93" s="27"/>
      <c r="M93" s="26"/>
      <c r="N93" s="27">
        <f t="shared" si="2"/>
        <v>249</v>
      </c>
      <c r="O93" s="27">
        <v>1</v>
      </c>
      <c r="P93" s="26">
        <f>+O93*J93*'[1]Opex'!$E$55</f>
        <v>219629205</v>
      </c>
    </row>
    <row r="94" spans="2:16" ht="15.75">
      <c r="B94" s="31" t="s">
        <v>21</v>
      </c>
      <c r="C94" s="27">
        <f>SUMIF('[1]Red de Servicio'!$G$8:$G$1377,"N",'[1]Red de Servicio'!$R$8:$R$1377)</f>
        <v>324</v>
      </c>
      <c r="D94" s="27"/>
      <c r="E94" s="73"/>
      <c r="F94" s="26"/>
      <c r="G94" s="27">
        <f t="shared" si="1"/>
        <v>324</v>
      </c>
      <c r="H94" s="27">
        <f>+'[1]Opex'!$D$56+'[1]Opex'!$D$57</f>
        <v>1</v>
      </c>
      <c r="I94" s="26">
        <f>+H94*C94*'[1]Opex'!$E$55</f>
        <v>285782580</v>
      </c>
      <c r="J94" s="27">
        <f>SUMIF('[1]Red de Servicio'!$G$8:$G$1377,"N",'[1]Red de Servicio'!$X$8:$X$1377)</f>
        <v>313</v>
      </c>
      <c r="K94" s="27"/>
      <c r="L94" s="27"/>
      <c r="M94" s="26"/>
      <c r="N94" s="27">
        <f t="shared" si="2"/>
        <v>313</v>
      </c>
      <c r="O94" s="27">
        <f>+'[1]Opex'!$D$56+'[1]Opex'!$D$57</f>
        <v>1</v>
      </c>
      <c r="P94" s="26">
        <f>+O94*J94*'[1]Opex'!$E$55</f>
        <v>276080085</v>
      </c>
    </row>
    <row r="95" spans="2:16" ht="15.75">
      <c r="B95" s="31" t="s">
        <v>20</v>
      </c>
      <c r="C95" s="27">
        <f>SUMIF('[1]Red de Servicio'!$G$8:$G$1377,"O",'[1]Red de Servicio'!$R$8:$R$1377)</f>
        <v>337</v>
      </c>
      <c r="D95" s="27"/>
      <c r="E95" s="73"/>
      <c r="F95" s="26"/>
      <c r="G95" s="27">
        <f>+C95*H95</f>
        <v>337</v>
      </c>
      <c r="H95" s="27">
        <f>+'[1]Opex'!$D$56+'[1]Opex'!$D$57</f>
        <v>1</v>
      </c>
      <c r="I95" s="26">
        <f>+H95*C95*'[1]Opex'!$E$55</f>
        <v>297249165</v>
      </c>
      <c r="J95" s="27">
        <f>SUMIF('[1]Red de Servicio'!$G$8:$G$1377,"O",'[1]Red de Servicio'!$X$8:$X$1377)</f>
        <v>288</v>
      </c>
      <c r="K95" s="27"/>
      <c r="L95" s="27"/>
      <c r="M95" s="26"/>
      <c r="N95" s="27">
        <f t="shared" si="2"/>
        <v>288</v>
      </c>
      <c r="O95" s="27">
        <f>+'[1]Opex'!$D$56+'[1]Opex'!$D$57</f>
        <v>1</v>
      </c>
      <c r="P95" s="26">
        <f>+O95*J95*'[1]Opex'!$E$55</f>
        <v>254028960</v>
      </c>
    </row>
    <row r="96" spans="2:16" ht="15.75">
      <c r="B96" s="117" t="s">
        <v>195</v>
      </c>
      <c r="C96" s="27">
        <f>IF('[1]Tablero de Control'!$B$41='[1]Tablero de Control'!$S$53,0,SUM(C81:C95)*'[1]Tablero de Control'!$B$41)</f>
        <v>0</v>
      </c>
      <c r="D96" s="27"/>
      <c r="E96" s="73"/>
      <c r="F96" s="26"/>
      <c r="G96" s="27">
        <f>+C96*H96</f>
        <v>0</v>
      </c>
      <c r="H96" s="27">
        <f>+'[1]Opex'!$D$56+'[1]Opex'!$D$57</f>
        <v>1</v>
      </c>
      <c r="I96" s="26">
        <f>+H96*C96*'[1]Opex'!$E$55</f>
        <v>0</v>
      </c>
      <c r="J96" s="27">
        <f>IF('[1]Tablero de Control'!$B$41='[1]Tablero de Control'!$S$53,0,SUM(J81:J95)*'[1]Tablero de Control'!$B$41)</f>
        <v>0</v>
      </c>
      <c r="K96" s="27"/>
      <c r="L96" s="27"/>
      <c r="M96" s="26"/>
      <c r="N96" s="27">
        <f t="shared" si="2"/>
        <v>0</v>
      </c>
      <c r="O96" s="27">
        <f>+'[1]Opex'!$D$56+'[1]Opex'!$D$57</f>
        <v>1</v>
      </c>
      <c r="P96" s="26">
        <f>+O96*J96*'[1]Opex'!$E$55</f>
        <v>0</v>
      </c>
    </row>
    <row r="97" spans="2:16" ht="15.75">
      <c r="B97" s="31" t="s">
        <v>91</v>
      </c>
      <c r="C97" s="27"/>
      <c r="D97" s="27"/>
      <c r="E97" s="73"/>
      <c r="F97" s="26"/>
      <c r="G97" s="27">
        <f>+'[1]Opex'!$D$59*'[1]Opex'!$D$61</f>
        <v>21</v>
      </c>
      <c r="H97" s="27">
        <f>+'[1]Opex'!$D$59*'[1]Opex'!$D$61</f>
        <v>21</v>
      </c>
      <c r="I97" s="26">
        <f>+H97*'[1]Opex'!$E$59</f>
        <v>33736500</v>
      </c>
      <c r="J97" s="27"/>
      <c r="K97" s="27"/>
      <c r="L97" s="73"/>
      <c r="M97" s="26"/>
      <c r="N97" s="27">
        <f>+'[1]Opex'!$D$59*'[1]Opex'!$D$61</f>
        <v>21</v>
      </c>
      <c r="O97" s="27">
        <f>+'[1]Opex'!$D$59*'[1]Opex'!$D$61</f>
        <v>21</v>
      </c>
      <c r="P97" s="26">
        <f>+O97*'[1]Opex'!$E$59</f>
        <v>33736500</v>
      </c>
    </row>
    <row r="98" spans="2:16" ht="15.75">
      <c r="B98" s="31" t="s">
        <v>113</v>
      </c>
      <c r="C98" s="27"/>
      <c r="D98" s="27"/>
      <c r="E98" s="73"/>
      <c r="F98" s="26"/>
      <c r="G98" s="27">
        <f>+'[1]Opex'!$D$60*'[1]Opex'!$D$61</f>
        <v>21</v>
      </c>
      <c r="H98" s="27">
        <f>+'[1]Opex'!$D$60*'[1]Opex'!$D$61</f>
        <v>21</v>
      </c>
      <c r="I98" s="26">
        <f>+H98*'[1]Opex'!$E$60</f>
        <v>18522945</v>
      </c>
      <c r="J98" s="27"/>
      <c r="K98" s="27"/>
      <c r="L98" s="73"/>
      <c r="M98" s="26"/>
      <c r="N98" s="27">
        <f>+'[1]Opex'!$D$60*'[1]Opex'!$D$61</f>
        <v>21</v>
      </c>
      <c r="O98" s="27">
        <f>+'[1]Opex'!$D$60*'[1]Opex'!$D$61</f>
        <v>21</v>
      </c>
      <c r="P98" s="26">
        <f>+O98*'[1]Opex'!$E$60</f>
        <v>18522945</v>
      </c>
    </row>
    <row r="99" spans="2:16" ht="15.75">
      <c r="B99" s="30" t="s">
        <v>107</v>
      </c>
      <c r="C99" s="29">
        <f>SUM(C81:C98)</f>
        <v>1311</v>
      </c>
      <c r="D99" s="29"/>
      <c r="F99" s="28"/>
      <c r="G99" s="29">
        <f>SUM(G81:G98)</f>
        <v>1353</v>
      </c>
      <c r="I99" s="28">
        <f>SUM(I81:I98)</f>
        <v>1208620440</v>
      </c>
      <c r="J99" s="29">
        <f>SUM(J81:J98)</f>
        <v>1862</v>
      </c>
      <c r="K99" s="29"/>
      <c r="M99" s="28"/>
      <c r="N99" s="29">
        <f>SUM(N81:N98)</f>
        <v>1904</v>
      </c>
      <c r="P99" s="28">
        <f>SUM(P81:P98)</f>
        <v>1694627235</v>
      </c>
    </row>
    <row r="100" ht="4.5" customHeight="1"/>
    <row r="101" spans="2:6" ht="30.75" customHeight="1">
      <c r="B101" s="77" t="s">
        <v>223</v>
      </c>
      <c r="C101" s="78"/>
      <c r="D101" s="78"/>
      <c r="E101" s="139" t="s">
        <v>224</v>
      </c>
      <c r="F101" s="140"/>
    </row>
    <row r="102" spans="2:6" ht="15.75">
      <c r="B102" s="79" t="s">
        <v>109</v>
      </c>
      <c r="C102" s="80" t="s">
        <v>35</v>
      </c>
      <c r="D102" s="80" t="s">
        <v>36</v>
      </c>
      <c r="E102" s="80" t="s">
        <v>35</v>
      </c>
      <c r="F102" s="80" t="s">
        <v>36</v>
      </c>
    </row>
    <row r="103" spans="2:6" ht="15.75">
      <c r="B103" s="31" t="s">
        <v>34</v>
      </c>
      <c r="C103" s="27">
        <f>SUMIF('[1]Red de Servicio'!$G$8:$G$1377,"A",'[1]Red de Servicio'!$R$8:$R$1377)</f>
        <v>0</v>
      </c>
      <c r="D103" s="26">
        <f>+C103*'[1]Opex'!$E$70</f>
        <v>0</v>
      </c>
      <c r="E103" s="27">
        <f>SUMIF('[1]Red de Servicio'!$G$8:$G$1377,"A",'[1]Red de Servicio'!$X$8:$X$1377)</f>
        <v>10</v>
      </c>
      <c r="F103" s="26">
        <f>+E103*'[1]Opex'!$E$70</f>
        <v>4600000</v>
      </c>
    </row>
    <row r="104" spans="2:6" ht="15.75">
      <c r="B104" s="31" t="s">
        <v>33</v>
      </c>
      <c r="C104" s="27">
        <f>SUMIF('[1]Red de Servicio'!$G$8:$G$1377,"B",'[1]Red de Servicio'!$R$8:$R$1377)</f>
        <v>10</v>
      </c>
      <c r="D104" s="26">
        <f>+C104*'[1]Opex'!$E$77</f>
        <v>4700000</v>
      </c>
      <c r="E104" s="27">
        <f>SUMIF('[1]Red de Servicio'!$G$8:$G$1377,"B",'[1]Red de Servicio'!$X$8:$X$1377)</f>
        <v>38</v>
      </c>
      <c r="F104" s="26">
        <f>+E104*'[1]Opex'!$E$77</f>
        <v>17860000</v>
      </c>
    </row>
    <row r="105" spans="2:6" ht="15.75">
      <c r="B105" s="31" t="s">
        <v>32</v>
      </c>
      <c r="C105" s="27">
        <f>SUMIF('[1]Red de Servicio'!$G$8:$G$1377,"C",'[1]Red de Servicio'!$R$8:$R$1377)</f>
        <v>5</v>
      </c>
      <c r="D105" s="26">
        <f>+C105*'[1]Opex'!$E$84</f>
        <v>2400000</v>
      </c>
      <c r="E105" s="27">
        <f>SUMIF('[1]Red de Servicio'!$G$8:$G$1377,"C",'[1]Red de Servicio'!$X$8:$X$1377)</f>
        <v>27</v>
      </c>
      <c r="F105" s="26">
        <f>+E105*'[1]Opex'!$E$84</f>
        <v>12960000</v>
      </c>
    </row>
    <row r="106" spans="2:6" ht="15.75">
      <c r="B106" s="31" t="s">
        <v>31</v>
      </c>
      <c r="C106" s="27">
        <f>SUMIF('[1]Red de Servicio'!$G$8:$G$1377,"D",'[1]Red de Servicio'!$R$8:$R$1377)</f>
        <v>6</v>
      </c>
      <c r="D106" s="26">
        <f>+C106*'[1]Opex'!$E$91</f>
        <v>2940000</v>
      </c>
      <c r="E106" s="27">
        <f>SUMIF('[1]Red de Servicio'!$G$8:$G$1377,"D",'[1]Red de Servicio'!$X$8:$X$1377)</f>
        <v>84</v>
      </c>
      <c r="F106" s="26">
        <f>+E106*'[1]Opex'!$E$91</f>
        <v>41160000</v>
      </c>
    </row>
    <row r="107" spans="2:6" ht="15.75">
      <c r="B107" s="31" t="s">
        <v>30</v>
      </c>
      <c r="C107" s="27">
        <f>SUMIF('[1]Red de Servicio'!$G$8:$G$1377,"E",'[1]Red de Servicio'!$R$8:$R$1377)</f>
        <v>14</v>
      </c>
      <c r="D107" s="26">
        <f>+C107*'[1]Opex'!$E$98</f>
        <v>7000000</v>
      </c>
      <c r="E107" s="27">
        <f>SUMIF('[1]Red de Servicio'!$G$8:$G$1377,"E",'[1]Red de Servicio'!$X$8:$X$1377)</f>
        <v>135</v>
      </c>
      <c r="F107" s="26">
        <f>+E107*'[1]Opex'!$E$98</f>
        <v>67500000</v>
      </c>
    </row>
    <row r="108" spans="2:6" ht="15.75">
      <c r="B108" s="31" t="s">
        <v>29</v>
      </c>
      <c r="C108" s="27">
        <f>SUMIF('[1]Red de Servicio'!$G$8:$G$1377,"F",'[1]Red de Servicio'!$R$8:$R$1377)</f>
        <v>85</v>
      </c>
      <c r="D108" s="26">
        <f>+C108*'[1]Opex'!$E$105</f>
        <v>43775000</v>
      </c>
      <c r="E108" s="27">
        <f>SUMIF('[1]Red de Servicio'!$G$8:$G$1377,"F",'[1]Red de Servicio'!$X$8:$X$1377)</f>
        <v>220</v>
      </c>
      <c r="F108" s="26">
        <f>+E108*'[1]Opex'!$E$105</f>
        <v>113300000</v>
      </c>
    </row>
    <row r="109" spans="2:6" ht="15.75">
      <c r="B109" s="31" t="s">
        <v>28</v>
      </c>
      <c r="C109" s="27">
        <f>SUMIF('[1]Red de Servicio'!$G$8:$G$1377,"G",'[1]Red de Servicio'!$R$8:$R$1377)</f>
        <v>169</v>
      </c>
      <c r="D109" s="26">
        <f>+C109*'[1]Opex'!$E$112</f>
        <v>88725000</v>
      </c>
      <c r="E109" s="27">
        <f>SUMIF('[1]Red de Servicio'!$G$8:$G$1377,"G",'[1]Red de Servicio'!$X$8:$X$1377)</f>
        <v>245</v>
      </c>
      <c r="F109" s="26">
        <f>+E109*'[1]Opex'!$E$112</f>
        <v>128625000</v>
      </c>
    </row>
    <row r="110" spans="2:6" ht="15.75">
      <c r="B110" s="31" t="s">
        <v>27</v>
      </c>
      <c r="C110" s="27">
        <f>SUMIF('[1]Red de Servicio'!$G$8:$G$1377,"H",'[1]Red de Servicio'!$R$8:$R$1377)</f>
        <v>28</v>
      </c>
      <c r="D110" s="26">
        <f>+C110*'[1]Opex'!$E$119</f>
        <v>14980000</v>
      </c>
      <c r="E110" s="27">
        <f>SUMIF('[1]Red de Servicio'!$G$8:$G$1377,"H",'[1]Red de Servicio'!$X$8:$X$1377)</f>
        <v>46</v>
      </c>
      <c r="F110" s="26">
        <f>+E110*'[1]Opex'!$E$119</f>
        <v>24610000</v>
      </c>
    </row>
    <row r="111" spans="2:6" ht="15.75">
      <c r="B111" s="31" t="s">
        <v>26</v>
      </c>
      <c r="C111" s="27">
        <f>SUMIF('[1]Red de Servicio'!$G$8:$G$1377,"I",'[1]Red de Servicio'!$R$8:$R$1377)</f>
        <v>19</v>
      </c>
      <c r="D111" s="26">
        <f>+C111*'[1]Opex'!$E$126</f>
        <v>11685000</v>
      </c>
      <c r="E111" s="27">
        <f>SUMIF('[1]Red de Servicio'!$G$8:$G$1377,"I",'[1]Red de Servicio'!$X$8:$X$1377)</f>
        <v>30</v>
      </c>
      <c r="F111" s="26">
        <f>+E111*'[1]Opex'!$E$126</f>
        <v>18450000</v>
      </c>
    </row>
    <row r="112" spans="2:6" ht="15.75">
      <c r="B112" s="31" t="s">
        <v>25</v>
      </c>
      <c r="C112" s="27">
        <f>SUMIF('[1]Red de Servicio'!$G$8:$G$1377,"J",'[1]Red de Servicio'!$R$8:$R$1377)</f>
        <v>34</v>
      </c>
      <c r="D112" s="26">
        <f>+C112*'[1]Opex'!$E$133</f>
        <v>21250000</v>
      </c>
      <c r="E112" s="27">
        <f>SUMIF('[1]Red de Servicio'!$G$8:$G$1377,"J",'[1]Red de Servicio'!$X$8:$X$1377)</f>
        <v>52</v>
      </c>
      <c r="F112" s="26">
        <f>+E112*'[1]Opex'!$E$133</f>
        <v>32500000</v>
      </c>
    </row>
    <row r="113" spans="2:6" ht="15.75">
      <c r="B113" s="31" t="s">
        <v>24</v>
      </c>
      <c r="C113" s="27">
        <f>SUMIF('[1]Red de Servicio'!$G$8:$G$1377,"K",'[1]Red de Servicio'!$R$8:$R$1377)</f>
        <v>26</v>
      </c>
      <c r="D113" s="26">
        <f>+C113*'[1]Opex'!$E$140</f>
        <v>16510000</v>
      </c>
      <c r="E113" s="27">
        <f>SUMIF('[1]Red de Servicio'!$G$8:$G$1377,"K",'[1]Red de Servicio'!$X$8:$X$1377)</f>
        <v>39</v>
      </c>
      <c r="F113" s="26">
        <f>+E113*'[1]Opex'!$E$140</f>
        <v>24765000</v>
      </c>
    </row>
    <row r="114" spans="2:6" ht="15.75">
      <c r="B114" s="31" t="s">
        <v>23</v>
      </c>
      <c r="C114" s="27">
        <f>SUMIF('[1]Red de Servicio'!$G$8:$G$1377,"L",'[1]Red de Servicio'!$R$8:$R$1377)</f>
        <v>70</v>
      </c>
      <c r="D114" s="26">
        <f>+C114*'[1]Opex'!$E$147</f>
        <v>44800000</v>
      </c>
      <c r="E114" s="27">
        <f>SUMIF('[1]Red de Servicio'!$G$8:$G$1377,"L",'[1]Red de Servicio'!$X$8:$X$1377)</f>
        <v>86</v>
      </c>
      <c r="F114" s="26">
        <f>+E114*'[1]Opex'!$E$147</f>
        <v>55040000</v>
      </c>
    </row>
    <row r="115" spans="2:6" ht="15.75">
      <c r="B115" s="31" t="s">
        <v>22</v>
      </c>
      <c r="C115" s="27">
        <f>SUMIF('[1]Red de Servicio'!$G$8:$G$1377,"M",'[1]Red de Servicio'!$R$8:$R$1377)</f>
        <v>184</v>
      </c>
      <c r="D115" s="26">
        <f>+C115*'[1]Opex'!$E$154</f>
        <v>119600000</v>
      </c>
      <c r="E115" s="27">
        <f>SUMIF('[1]Red de Servicio'!$G$8:$G$1377,"M",'[1]Red de Servicio'!$X$8:$X$1377)</f>
        <v>249</v>
      </c>
      <c r="F115" s="26">
        <f>+E115*'[1]Opex'!$E$154</f>
        <v>161850000</v>
      </c>
    </row>
    <row r="116" spans="2:6" ht="15.75">
      <c r="B116" s="31" t="s">
        <v>21</v>
      </c>
      <c r="C116" s="27">
        <f>SUMIF('[1]Red de Servicio'!$G$8:$G$1377,"N",'[1]Red de Servicio'!$R$8:$R$1377)</f>
        <v>324</v>
      </c>
      <c r="D116" s="26">
        <f>+C116*'[1]Opex'!$E$161</f>
        <v>223560000</v>
      </c>
      <c r="E116" s="27">
        <f>SUMIF('[1]Red de Servicio'!$G$8:$G$1377,"N",'[1]Red de Servicio'!$X$8:$X$1377)</f>
        <v>313</v>
      </c>
      <c r="F116" s="26">
        <f>+E116*'[1]Opex'!$E$161</f>
        <v>215970000</v>
      </c>
    </row>
    <row r="117" spans="2:6" ht="15.75">
      <c r="B117" s="31" t="s">
        <v>20</v>
      </c>
      <c r="C117" s="27">
        <f>SUMIF('[1]Red de Servicio'!$G$8:$G$1377,"O",'[1]Red de Servicio'!$R$8:$R$1377)</f>
        <v>337</v>
      </c>
      <c r="D117" s="26">
        <f>+C117*'[1]Opex'!$E$168</f>
        <v>235900000</v>
      </c>
      <c r="E117" s="27">
        <f>SUMIF('[1]Red de Servicio'!$G$8:$G$1377,"O",'[1]Red de Servicio'!$X$8:$X$1377)</f>
        <v>288</v>
      </c>
      <c r="F117" s="26">
        <f>+E117*'[1]Opex'!$E$168</f>
        <v>201600000</v>
      </c>
    </row>
    <row r="118" spans="2:6" ht="15.75">
      <c r="B118" s="117" t="s">
        <v>197</v>
      </c>
      <c r="C118" s="27">
        <f>IF('[1]Tablero de Control'!$B$41='[1]Tablero de Control'!$S$53,0,SUM(C103:C117)*'[1]Tablero de Control'!$B$41)</f>
        <v>0</v>
      </c>
      <c r="D118" s="118">
        <f>C118*SUM(D103:D117)/SUM(C103:C117)</f>
        <v>0</v>
      </c>
      <c r="E118" s="27">
        <f>IF('[1]Tablero de Control'!$B$41='[1]Tablero de Control'!$S$53,0,SUM(E103:E117)*'[1]Tablero de Control'!$B$41)</f>
        <v>0</v>
      </c>
      <c r="F118" s="118">
        <f>E118*SUM(F103:F117)/SUM(E103:E117)</f>
        <v>0</v>
      </c>
    </row>
    <row r="119" spans="2:6" ht="15.75">
      <c r="B119" s="125" t="s">
        <v>217</v>
      </c>
      <c r="C119" s="126"/>
      <c r="D119" s="118">
        <f>IF('[1]Tablero de Control'!$B$59='[1]Tablero de Control'!$S$90,'[1]Opex'!$C$170,0)</f>
        <v>0</v>
      </c>
      <c r="E119" s="126"/>
      <c r="F119" s="118">
        <f>IF('[1]Tablero de Control'!$B$59='[1]Tablero de Control'!$S$90,'[1]Opex'!$C$170,0)</f>
        <v>0</v>
      </c>
    </row>
    <row r="120" spans="2:6" ht="15.75">
      <c r="B120" s="81" t="s">
        <v>114</v>
      </c>
      <c r="C120" s="82">
        <f>SUM(C103:C119)</f>
        <v>1311</v>
      </c>
      <c r="D120" s="83">
        <f>SUM(D103:D119)</f>
        <v>837825000</v>
      </c>
      <c r="E120" s="82">
        <f>SUM(E103:E119)</f>
        <v>1862</v>
      </c>
      <c r="F120" s="83">
        <f>SUM(F103:F119)</f>
        <v>1120790000</v>
      </c>
    </row>
    <row r="121" spans="2:6" ht="4.5" customHeight="1">
      <c r="B121" s="89"/>
      <c r="C121" s="90"/>
      <c r="D121" s="91"/>
      <c r="E121" s="90"/>
      <c r="F121" s="91"/>
    </row>
    <row r="122" spans="2:18" ht="15.75">
      <c r="B122" s="77" t="s">
        <v>225</v>
      </c>
      <c r="C122" s="78"/>
      <c r="D122" s="78"/>
      <c r="E122" s="78"/>
      <c r="F122" s="78"/>
      <c r="G122" s="78"/>
      <c r="H122" s="78"/>
      <c r="I122" s="78"/>
      <c r="J122" s="78"/>
      <c r="K122" s="77" t="s">
        <v>226</v>
      </c>
      <c r="L122" s="78"/>
      <c r="M122" s="78"/>
      <c r="N122" s="78"/>
      <c r="O122" s="78"/>
      <c r="P122" s="78"/>
      <c r="Q122" s="78"/>
      <c r="R122" s="75"/>
    </row>
    <row r="123" spans="2:18" ht="15.75">
      <c r="B123" s="79" t="s">
        <v>116</v>
      </c>
      <c r="C123" s="138"/>
      <c r="D123" s="138"/>
      <c r="E123" s="138"/>
      <c r="F123" s="138"/>
      <c r="G123" s="138" t="s">
        <v>103</v>
      </c>
      <c r="H123" s="138"/>
      <c r="I123" s="138"/>
      <c r="J123" s="138"/>
      <c r="K123" s="138"/>
      <c r="L123" s="138"/>
      <c r="M123" s="138"/>
      <c r="N123" s="138"/>
      <c r="O123" s="138" t="s">
        <v>103</v>
      </c>
      <c r="P123" s="138"/>
      <c r="Q123" s="138"/>
      <c r="R123" s="138"/>
    </row>
    <row r="124" spans="2:18" ht="31.5">
      <c r="B124" s="62" t="s">
        <v>104</v>
      </c>
      <c r="C124" s="62"/>
      <c r="D124" s="62"/>
      <c r="E124" s="62"/>
      <c r="F124" s="62"/>
      <c r="G124" s="62" t="s">
        <v>125</v>
      </c>
      <c r="H124" s="62" t="s">
        <v>36</v>
      </c>
      <c r="I124" s="62" t="s">
        <v>117</v>
      </c>
      <c r="J124" s="62" t="s">
        <v>118</v>
      </c>
      <c r="K124" s="62"/>
      <c r="L124" s="62"/>
      <c r="M124" s="62"/>
      <c r="N124" s="62"/>
      <c r="O124" s="62" t="s">
        <v>125</v>
      </c>
      <c r="P124" s="62" t="s">
        <v>36</v>
      </c>
      <c r="Q124" s="62" t="s">
        <v>117</v>
      </c>
      <c r="R124" s="62" t="s">
        <v>118</v>
      </c>
    </row>
    <row r="125" ht="15.75">
      <c r="B125" s="74" t="s">
        <v>19</v>
      </c>
    </row>
    <row r="126" spans="2:18" ht="15.75">
      <c r="B126" s="31" t="s">
        <v>34</v>
      </c>
      <c r="C126" s="37"/>
      <c r="D126" s="34"/>
      <c r="E126" s="34"/>
      <c r="F126" s="34"/>
      <c r="G126" s="37">
        <f>+C103</f>
        <v>0</v>
      </c>
      <c r="H126" s="34">
        <f>+'[1]Capex'!$E$34</f>
        <v>898000</v>
      </c>
      <c r="I126" s="34">
        <f>G126*H126</f>
        <v>0</v>
      </c>
      <c r="J126" s="34">
        <f>+I126*'[1]Financieros'!$C$147</f>
        <v>0</v>
      </c>
      <c r="K126" s="37"/>
      <c r="L126" s="34"/>
      <c r="M126" s="34"/>
      <c r="N126" s="34"/>
      <c r="O126" s="37">
        <f>+J81</f>
        <v>10</v>
      </c>
      <c r="P126" s="34">
        <f>+'[1]Capex'!$E$34</f>
        <v>898000</v>
      </c>
      <c r="Q126" s="34">
        <f>O126*P126</f>
        <v>8980000</v>
      </c>
      <c r="R126" s="34">
        <f>+Q126*'[1]Financieros'!$C$147</f>
        <v>898000</v>
      </c>
    </row>
    <row r="127" spans="2:18" ht="15.75">
      <c r="B127" s="31" t="s">
        <v>33</v>
      </c>
      <c r="C127" s="37"/>
      <c r="D127" s="34"/>
      <c r="E127" s="34"/>
      <c r="F127" s="34"/>
      <c r="G127" s="37">
        <f aca="true" t="shared" si="3" ref="G127:G140">+C104</f>
        <v>10</v>
      </c>
      <c r="H127" s="34">
        <f>+'[1]Capex'!$E$34</f>
        <v>898000</v>
      </c>
      <c r="I127" s="34">
        <f aca="true" t="shared" si="4" ref="I127:I143">G127*H127</f>
        <v>8980000</v>
      </c>
      <c r="J127" s="34">
        <f>+I127*'[1]Financieros'!$C$147</f>
        <v>898000</v>
      </c>
      <c r="K127" s="37"/>
      <c r="L127" s="34"/>
      <c r="M127" s="34"/>
      <c r="N127" s="34"/>
      <c r="O127" s="37">
        <f aca="true" t="shared" si="5" ref="O127:O140">+J82</f>
        <v>38</v>
      </c>
      <c r="P127" s="34">
        <f>+'[1]Capex'!$E$34</f>
        <v>898000</v>
      </c>
      <c r="Q127" s="34">
        <f aca="true" t="shared" si="6" ref="Q127:Q143">O127*P127</f>
        <v>34124000</v>
      </c>
      <c r="R127" s="34">
        <f>+Q127*'[1]Financieros'!$C$147</f>
        <v>3412400</v>
      </c>
    </row>
    <row r="128" spans="2:18" ht="15.75">
      <c r="B128" s="31" t="s">
        <v>32</v>
      </c>
      <c r="C128" s="37"/>
      <c r="D128" s="34"/>
      <c r="E128" s="34"/>
      <c r="F128" s="34"/>
      <c r="G128" s="37">
        <f t="shared" si="3"/>
        <v>5</v>
      </c>
      <c r="H128" s="34">
        <f>+'[1]Capex'!$E$34</f>
        <v>898000</v>
      </c>
      <c r="I128" s="34">
        <f t="shared" si="4"/>
        <v>4490000</v>
      </c>
      <c r="J128" s="34">
        <f>+I128*'[1]Financieros'!$C$147</f>
        <v>449000</v>
      </c>
      <c r="K128" s="37"/>
      <c r="L128" s="34"/>
      <c r="M128" s="34"/>
      <c r="N128" s="34"/>
      <c r="O128" s="37">
        <f t="shared" si="5"/>
        <v>27</v>
      </c>
      <c r="P128" s="34">
        <f>+'[1]Capex'!$E$34</f>
        <v>898000</v>
      </c>
      <c r="Q128" s="34">
        <f t="shared" si="6"/>
        <v>24246000</v>
      </c>
      <c r="R128" s="34">
        <f>+Q128*'[1]Financieros'!$C$147</f>
        <v>2424600</v>
      </c>
    </row>
    <row r="129" spans="2:18" ht="15.75">
      <c r="B129" s="31" t="s">
        <v>31</v>
      </c>
      <c r="C129" s="37"/>
      <c r="D129" s="34"/>
      <c r="E129" s="34"/>
      <c r="F129" s="34"/>
      <c r="G129" s="37">
        <f t="shared" si="3"/>
        <v>6</v>
      </c>
      <c r="H129" s="34">
        <f>+'[1]Capex'!$E$34</f>
        <v>898000</v>
      </c>
      <c r="I129" s="34">
        <f t="shared" si="4"/>
        <v>5388000</v>
      </c>
      <c r="J129" s="34">
        <f>+I129*'[1]Financieros'!$C$147</f>
        <v>538800</v>
      </c>
      <c r="K129" s="37"/>
      <c r="L129" s="34"/>
      <c r="M129" s="34"/>
      <c r="N129" s="34"/>
      <c r="O129" s="37">
        <f t="shared" si="5"/>
        <v>84</v>
      </c>
      <c r="P129" s="34">
        <f>+'[1]Capex'!$E$34</f>
        <v>898000</v>
      </c>
      <c r="Q129" s="34">
        <f t="shared" si="6"/>
        <v>75432000</v>
      </c>
      <c r="R129" s="34">
        <f>+Q129*'[1]Financieros'!$C$147</f>
        <v>7543200</v>
      </c>
    </row>
    <row r="130" spans="2:18" ht="15.75">
      <c r="B130" s="31" t="s">
        <v>30</v>
      </c>
      <c r="C130" s="37"/>
      <c r="D130" s="34"/>
      <c r="E130" s="34"/>
      <c r="F130" s="34"/>
      <c r="G130" s="37">
        <f t="shared" si="3"/>
        <v>14</v>
      </c>
      <c r="H130" s="34">
        <f>+'[1]Capex'!$E$34</f>
        <v>898000</v>
      </c>
      <c r="I130" s="34">
        <f t="shared" si="4"/>
        <v>12572000</v>
      </c>
      <c r="J130" s="34">
        <f>+I130*'[1]Financieros'!$C$147</f>
        <v>1257200</v>
      </c>
      <c r="K130" s="37"/>
      <c r="L130" s="34"/>
      <c r="M130" s="34"/>
      <c r="N130" s="34"/>
      <c r="O130" s="37">
        <f t="shared" si="5"/>
        <v>135</v>
      </c>
      <c r="P130" s="34">
        <f>+'[1]Capex'!$E$34</f>
        <v>898000</v>
      </c>
      <c r="Q130" s="34">
        <f t="shared" si="6"/>
        <v>121230000</v>
      </c>
      <c r="R130" s="34">
        <f>+Q130*'[1]Financieros'!$C$147</f>
        <v>12123000</v>
      </c>
    </row>
    <row r="131" spans="2:18" ht="15.75">
      <c r="B131" s="31" t="s">
        <v>29</v>
      </c>
      <c r="C131" s="37"/>
      <c r="D131" s="34"/>
      <c r="E131" s="34"/>
      <c r="F131" s="34"/>
      <c r="G131" s="37">
        <f t="shared" si="3"/>
        <v>85</v>
      </c>
      <c r="H131" s="34">
        <f>+'[1]Capex'!$E$34</f>
        <v>898000</v>
      </c>
      <c r="I131" s="34">
        <f t="shared" si="4"/>
        <v>76330000</v>
      </c>
      <c r="J131" s="34">
        <f>+I131*'[1]Financieros'!$C$147</f>
        <v>7633000</v>
      </c>
      <c r="K131" s="37"/>
      <c r="L131" s="34"/>
      <c r="M131" s="34"/>
      <c r="N131" s="34"/>
      <c r="O131" s="37">
        <f t="shared" si="5"/>
        <v>220</v>
      </c>
      <c r="P131" s="34">
        <f>+'[1]Capex'!$E$34</f>
        <v>898000</v>
      </c>
      <c r="Q131" s="34">
        <f t="shared" si="6"/>
        <v>197560000</v>
      </c>
      <c r="R131" s="34">
        <f>+Q131*'[1]Financieros'!$C$147</f>
        <v>19756000</v>
      </c>
    </row>
    <row r="132" spans="2:18" ht="15.75">
      <c r="B132" s="31" t="s">
        <v>28</v>
      </c>
      <c r="C132" s="37"/>
      <c r="D132" s="34"/>
      <c r="E132" s="34"/>
      <c r="F132" s="34"/>
      <c r="G132" s="37">
        <f t="shared" si="3"/>
        <v>169</v>
      </c>
      <c r="H132" s="34">
        <f>+'[1]Capex'!$E$34</f>
        <v>898000</v>
      </c>
      <c r="I132" s="34">
        <f t="shared" si="4"/>
        <v>151762000</v>
      </c>
      <c r="J132" s="34">
        <f>+I132*'[1]Financieros'!$C$147</f>
        <v>15176200</v>
      </c>
      <c r="K132" s="37"/>
      <c r="L132" s="34"/>
      <c r="M132" s="34"/>
      <c r="N132" s="34"/>
      <c r="O132" s="37">
        <f t="shared" si="5"/>
        <v>245</v>
      </c>
      <c r="P132" s="34">
        <f>+'[1]Capex'!$E$34</f>
        <v>898000</v>
      </c>
      <c r="Q132" s="34">
        <f t="shared" si="6"/>
        <v>220010000</v>
      </c>
      <c r="R132" s="34">
        <f>+Q132*'[1]Financieros'!$C$147</f>
        <v>22001000</v>
      </c>
    </row>
    <row r="133" spans="2:18" ht="15.75">
      <c r="B133" s="31" t="s">
        <v>27</v>
      </c>
      <c r="C133" s="37"/>
      <c r="D133" s="34"/>
      <c r="E133" s="34"/>
      <c r="F133" s="34"/>
      <c r="G133" s="37">
        <f t="shared" si="3"/>
        <v>28</v>
      </c>
      <c r="H133" s="34">
        <f>+'[1]Capex'!$E$34</f>
        <v>898000</v>
      </c>
      <c r="I133" s="34">
        <f t="shared" si="4"/>
        <v>25144000</v>
      </c>
      <c r="J133" s="34">
        <f>+I133*'[1]Financieros'!$C$147</f>
        <v>2514400</v>
      </c>
      <c r="K133" s="37"/>
      <c r="L133" s="34"/>
      <c r="M133" s="34"/>
      <c r="N133" s="34"/>
      <c r="O133" s="37">
        <f t="shared" si="5"/>
        <v>46</v>
      </c>
      <c r="P133" s="34">
        <f>+'[1]Capex'!$E$34</f>
        <v>898000</v>
      </c>
      <c r="Q133" s="34">
        <f t="shared" si="6"/>
        <v>41308000</v>
      </c>
      <c r="R133" s="34">
        <f>+Q133*'[1]Financieros'!$C$147</f>
        <v>4130800</v>
      </c>
    </row>
    <row r="134" spans="2:18" ht="15.75">
      <c r="B134" s="31" t="s">
        <v>26</v>
      </c>
      <c r="C134" s="37"/>
      <c r="D134" s="34"/>
      <c r="E134" s="34"/>
      <c r="F134" s="34"/>
      <c r="G134" s="37">
        <f t="shared" si="3"/>
        <v>19</v>
      </c>
      <c r="H134" s="34">
        <f>+'[1]Capex'!$E$53</f>
        <v>1018000</v>
      </c>
      <c r="I134" s="34">
        <f t="shared" si="4"/>
        <v>19342000</v>
      </c>
      <c r="J134" s="34">
        <f>+I134*'[1]Financieros'!$C$147</f>
        <v>1934200</v>
      </c>
      <c r="K134" s="37"/>
      <c r="L134" s="34"/>
      <c r="M134" s="34"/>
      <c r="N134" s="34"/>
      <c r="O134" s="37">
        <f t="shared" si="5"/>
        <v>30</v>
      </c>
      <c r="P134" s="34">
        <f>+'[1]Capex'!$E$53</f>
        <v>1018000</v>
      </c>
      <c r="Q134" s="34">
        <f t="shared" si="6"/>
        <v>30540000</v>
      </c>
      <c r="R134" s="34">
        <f>+Q134*'[1]Financieros'!$C$147</f>
        <v>3054000</v>
      </c>
    </row>
    <row r="135" spans="2:18" ht="15.75">
      <c r="B135" s="31" t="s">
        <v>25</v>
      </c>
      <c r="C135" s="37"/>
      <c r="D135" s="34"/>
      <c r="E135" s="34"/>
      <c r="F135" s="34"/>
      <c r="G135" s="37">
        <f t="shared" si="3"/>
        <v>34</v>
      </c>
      <c r="H135" s="34">
        <f>+'[1]Capex'!$E$53</f>
        <v>1018000</v>
      </c>
      <c r="I135" s="34">
        <f t="shared" si="4"/>
        <v>34612000</v>
      </c>
      <c r="J135" s="34">
        <f>+I135*'[1]Financieros'!$C$147</f>
        <v>3461200</v>
      </c>
      <c r="K135" s="37"/>
      <c r="L135" s="34"/>
      <c r="M135" s="34"/>
      <c r="N135" s="34"/>
      <c r="O135" s="37">
        <f t="shared" si="5"/>
        <v>52</v>
      </c>
      <c r="P135" s="34">
        <f>+'[1]Capex'!$E$53</f>
        <v>1018000</v>
      </c>
      <c r="Q135" s="34">
        <f t="shared" si="6"/>
        <v>52936000</v>
      </c>
      <c r="R135" s="34">
        <f>+Q135*'[1]Financieros'!$C$147</f>
        <v>5293600</v>
      </c>
    </row>
    <row r="136" spans="2:18" ht="15.75">
      <c r="B136" s="31" t="s">
        <v>24</v>
      </c>
      <c r="C136" s="37"/>
      <c r="D136" s="34"/>
      <c r="E136" s="34"/>
      <c r="F136" s="34"/>
      <c r="G136" s="37">
        <f t="shared" si="3"/>
        <v>26</v>
      </c>
      <c r="H136" s="34">
        <f>+'[1]Capex'!$E$53</f>
        <v>1018000</v>
      </c>
      <c r="I136" s="34">
        <f t="shared" si="4"/>
        <v>26468000</v>
      </c>
      <c r="J136" s="34">
        <f>+I136*'[1]Financieros'!$C$147</f>
        <v>2646800</v>
      </c>
      <c r="K136" s="37"/>
      <c r="L136" s="34"/>
      <c r="M136" s="34"/>
      <c r="N136" s="34"/>
      <c r="O136" s="37">
        <f t="shared" si="5"/>
        <v>39</v>
      </c>
      <c r="P136" s="34">
        <f>+'[1]Capex'!$E$53</f>
        <v>1018000</v>
      </c>
      <c r="Q136" s="34">
        <f t="shared" si="6"/>
        <v>39702000</v>
      </c>
      <c r="R136" s="34">
        <f>+Q136*'[1]Financieros'!$C$147</f>
        <v>3970200</v>
      </c>
    </row>
    <row r="137" spans="2:18" ht="15.75">
      <c r="B137" s="31" t="s">
        <v>23</v>
      </c>
      <c r="C137" s="37"/>
      <c r="D137" s="34"/>
      <c r="E137" s="34"/>
      <c r="F137" s="34"/>
      <c r="G137" s="37">
        <f t="shared" si="3"/>
        <v>70</v>
      </c>
      <c r="H137" s="34">
        <f>+'[1]Capex'!$E$53</f>
        <v>1018000</v>
      </c>
      <c r="I137" s="34">
        <f t="shared" si="4"/>
        <v>71260000</v>
      </c>
      <c r="J137" s="34">
        <f>+I137*'[1]Financieros'!$C$147</f>
        <v>7126000</v>
      </c>
      <c r="K137" s="37"/>
      <c r="L137" s="34"/>
      <c r="M137" s="34"/>
      <c r="N137" s="34"/>
      <c r="O137" s="37">
        <f t="shared" si="5"/>
        <v>86</v>
      </c>
      <c r="P137" s="34">
        <f>+'[1]Capex'!$E$53</f>
        <v>1018000</v>
      </c>
      <c r="Q137" s="34">
        <f t="shared" si="6"/>
        <v>87548000</v>
      </c>
      <c r="R137" s="34">
        <f>+Q137*'[1]Financieros'!$C$147</f>
        <v>8754800</v>
      </c>
    </row>
    <row r="138" spans="2:18" ht="15.75">
      <c r="B138" s="31" t="s">
        <v>22</v>
      </c>
      <c r="C138" s="37"/>
      <c r="D138" s="34"/>
      <c r="E138" s="34"/>
      <c r="F138" s="34"/>
      <c r="G138" s="37">
        <f t="shared" si="3"/>
        <v>184</v>
      </c>
      <c r="H138" s="34">
        <f>+'[1]Capex'!$E$53</f>
        <v>1018000</v>
      </c>
      <c r="I138" s="34">
        <f t="shared" si="4"/>
        <v>187312000</v>
      </c>
      <c r="J138" s="34">
        <f>+I138*'[1]Financieros'!$C$147</f>
        <v>18731200</v>
      </c>
      <c r="K138" s="37"/>
      <c r="L138" s="34"/>
      <c r="M138" s="34"/>
      <c r="N138" s="34"/>
      <c r="O138" s="37">
        <f t="shared" si="5"/>
        <v>249</v>
      </c>
      <c r="P138" s="34">
        <f>+'[1]Capex'!$E$53</f>
        <v>1018000</v>
      </c>
      <c r="Q138" s="34">
        <f t="shared" si="6"/>
        <v>253482000</v>
      </c>
      <c r="R138" s="34">
        <f>+Q138*'[1]Financieros'!$C$147</f>
        <v>25348200</v>
      </c>
    </row>
    <row r="139" spans="2:18" ht="15.75">
      <c r="B139" s="31" t="s">
        <v>21</v>
      </c>
      <c r="C139" s="37"/>
      <c r="D139" s="34"/>
      <c r="E139" s="34"/>
      <c r="F139" s="34"/>
      <c r="G139" s="37">
        <f t="shared" si="3"/>
        <v>324</v>
      </c>
      <c r="H139" s="34">
        <f>+'[1]Capex'!$E$72</f>
        <v>1738000</v>
      </c>
      <c r="I139" s="34">
        <f t="shared" si="4"/>
        <v>563112000</v>
      </c>
      <c r="J139" s="34">
        <f>+I139*'[1]Financieros'!$C$147</f>
        <v>56311200</v>
      </c>
      <c r="K139" s="37"/>
      <c r="L139" s="34"/>
      <c r="M139" s="34"/>
      <c r="N139" s="34"/>
      <c r="O139" s="37">
        <f t="shared" si="5"/>
        <v>313</v>
      </c>
      <c r="P139" s="34">
        <f>+'[1]Capex'!$E$72</f>
        <v>1738000</v>
      </c>
      <c r="Q139" s="34">
        <f t="shared" si="6"/>
        <v>543994000</v>
      </c>
      <c r="R139" s="34">
        <f>+Q139*'[1]Financieros'!$C$147</f>
        <v>54399400</v>
      </c>
    </row>
    <row r="140" spans="2:18" ht="15.75">
      <c r="B140" s="31" t="s">
        <v>20</v>
      </c>
      <c r="C140" s="37"/>
      <c r="D140" s="34"/>
      <c r="E140" s="34"/>
      <c r="F140" s="34"/>
      <c r="G140" s="37">
        <f t="shared" si="3"/>
        <v>337</v>
      </c>
      <c r="H140" s="34">
        <f>+'[1]Capex'!$E$72</f>
        <v>1738000</v>
      </c>
      <c r="I140" s="34">
        <f t="shared" si="4"/>
        <v>585706000</v>
      </c>
      <c r="J140" s="34">
        <f>+I140*'[1]Financieros'!$C$147</f>
        <v>58570600</v>
      </c>
      <c r="K140" s="37"/>
      <c r="L140" s="34"/>
      <c r="M140" s="34"/>
      <c r="N140" s="34"/>
      <c r="O140" s="37">
        <f t="shared" si="5"/>
        <v>288</v>
      </c>
      <c r="P140" s="34">
        <f>+'[1]Capex'!$E$72</f>
        <v>1738000</v>
      </c>
      <c r="Q140" s="34">
        <f t="shared" si="6"/>
        <v>500544000</v>
      </c>
      <c r="R140" s="34">
        <f>+Q140*'[1]Financieros'!$C$147</f>
        <v>50054400</v>
      </c>
    </row>
    <row r="141" spans="2:18" ht="15.75">
      <c r="B141" s="31" t="s">
        <v>198</v>
      </c>
      <c r="C141" s="37"/>
      <c r="D141" s="34"/>
      <c r="E141" s="34"/>
      <c r="F141" s="34"/>
      <c r="G141" s="37">
        <f>+C141</f>
        <v>0</v>
      </c>
      <c r="H141" s="34">
        <f>AVERAGE(H126:H140)</f>
        <v>1050000</v>
      </c>
      <c r="I141" s="34">
        <f t="shared" si="4"/>
        <v>0</v>
      </c>
      <c r="J141" s="34">
        <f>+I141*'[1]Financieros'!$C$147</f>
        <v>0</v>
      </c>
      <c r="K141" s="37"/>
      <c r="L141" s="34"/>
      <c r="M141" s="34"/>
      <c r="N141" s="34"/>
      <c r="O141" s="37">
        <f>+K141</f>
        <v>0</v>
      </c>
      <c r="P141" s="34">
        <f>AVERAGE(P126:P140)</f>
        <v>1050000</v>
      </c>
      <c r="Q141" s="34">
        <f t="shared" si="6"/>
        <v>0</v>
      </c>
      <c r="R141" s="34">
        <f>+Q141*'[1]Financieros'!$C$147</f>
        <v>0</v>
      </c>
    </row>
    <row r="142" spans="2:18" ht="15.75">
      <c r="B142" s="36" t="s">
        <v>43</v>
      </c>
      <c r="C142" s="37"/>
      <c r="D142" s="34"/>
      <c r="E142" s="34"/>
      <c r="F142" s="34"/>
      <c r="G142" s="37">
        <f>+G99</f>
        <v>1353</v>
      </c>
      <c r="H142" s="34">
        <f>+'[1]Capex'!$D$86</f>
        <v>170000</v>
      </c>
      <c r="I142" s="34">
        <f t="shared" si="4"/>
        <v>230010000</v>
      </c>
      <c r="J142" s="34">
        <f>+I142*'[1]Financieros'!$C$147</f>
        <v>23001000</v>
      </c>
      <c r="K142" s="37"/>
      <c r="L142" s="34"/>
      <c r="M142" s="34"/>
      <c r="N142" s="34"/>
      <c r="O142" s="37">
        <f>+N99</f>
        <v>1904</v>
      </c>
      <c r="P142" s="34">
        <f>+'[1]Capex'!$D$86</f>
        <v>170000</v>
      </c>
      <c r="Q142" s="34">
        <f t="shared" si="6"/>
        <v>323680000</v>
      </c>
      <c r="R142" s="34">
        <f>+Q142*'[1]Financieros'!$C$147</f>
        <v>32368000</v>
      </c>
    </row>
    <row r="143" spans="2:18" ht="15.75">
      <c r="B143" s="36" t="s">
        <v>42</v>
      </c>
      <c r="C143" s="37"/>
      <c r="D143" s="34"/>
      <c r="E143" s="34"/>
      <c r="F143" s="34"/>
      <c r="G143" s="37">
        <f>+G99</f>
        <v>1353</v>
      </c>
      <c r="H143" s="34">
        <f>'[1]Capex'!$D$87</f>
        <v>70000</v>
      </c>
      <c r="I143" s="34">
        <f t="shared" si="4"/>
        <v>94710000</v>
      </c>
      <c r="J143" s="34">
        <f>+I143*'[1]Financieros'!$C$147</f>
        <v>9471000</v>
      </c>
      <c r="K143" s="37"/>
      <c r="L143" s="34"/>
      <c r="M143" s="34"/>
      <c r="N143" s="34"/>
      <c r="O143" s="37">
        <f>+N99</f>
        <v>1904</v>
      </c>
      <c r="P143" s="34">
        <f>+'[1]Capex'!$D$87</f>
        <v>70000</v>
      </c>
      <c r="Q143" s="34">
        <f t="shared" si="6"/>
        <v>133280000</v>
      </c>
      <c r="R143" s="34">
        <f>+Q143*'[1]Financieros'!$C$147</f>
        <v>13328000</v>
      </c>
    </row>
    <row r="144" spans="2:18" ht="15.75">
      <c r="B144" s="33" t="s">
        <v>17</v>
      </c>
      <c r="C144" s="33"/>
      <c r="D144" s="33"/>
      <c r="E144" s="32"/>
      <c r="F144" s="32"/>
      <c r="G144" s="33"/>
      <c r="H144" s="33"/>
      <c r="I144" s="32">
        <f>SUM(I126:I143)</f>
        <v>2097198000</v>
      </c>
      <c r="J144" s="32">
        <f>SUM(J126:J143)</f>
        <v>209719800</v>
      </c>
      <c r="K144" s="44"/>
      <c r="L144" s="33"/>
      <c r="M144" s="32"/>
      <c r="N144" s="32"/>
      <c r="O144" s="33"/>
      <c r="P144" s="33"/>
      <c r="Q144" s="32">
        <f>SUM(Q126:Q143)</f>
        <v>2688596000</v>
      </c>
      <c r="R144" s="32">
        <f>SUM(R126:R143)</f>
        <v>268859600</v>
      </c>
    </row>
    <row r="145" ht="15.75">
      <c r="B145" s="74" t="s">
        <v>120</v>
      </c>
    </row>
    <row r="146" spans="2:18" ht="15.75">
      <c r="B146" s="31" t="s">
        <v>34</v>
      </c>
      <c r="C146" s="37"/>
      <c r="D146" s="34"/>
      <c r="E146" s="34"/>
      <c r="F146" s="34"/>
      <c r="G146" s="37">
        <f aca="true" t="shared" si="7" ref="G146:G161">+G126</f>
        <v>0</v>
      </c>
      <c r="H146" s="34">
        <f>+'[1]Capex'!$E$39</f>
        <v>900000</v>
      </c>
      <c r="I146" s="34">
        <f>G146*H146</f>
        <v>0</v>
      </c>
      <c r="J146" s="34">
        <f>+I146*'[1]Financieros'!$C$148</f>
        <v>0</v>
      </c>
      <c r="K146" s="37"/>
      <c r="L146" s="34"/>
      <c r="M146" s="34"/>
      <c r="N146" s="34"/>
      <c r="O146" s="37">
        <f aca="true" t="shared" si="8" ref="O146:O161">+O126</f>
        <v>10</v>
      </c>
      <c r="P146" s="34">
        <f>+'[1]Capex'!$E$39</f>
        <v>900000</v>
      </c>
      <c r="Q146" s="34">
        <f>O146*P146</f>
        <v>9000000</v>
      </c>
      <c r="R146" s="34">
        <f>+Q146*'[1]Financieros'!$C$148</f>
        <v>1800000</v>
      </c>
    </row>
    <row r="147" spans="2:18" ht="15.75">
      <c r="B147" s="31" t="s">
        <v>33</v>
      </c>
      <c r="C147" s="37"/>
      <c r="D147" s="34"/>
      <c r="E147" s="34"/>
      <c r="F147" s="34"/>
      <c r="G147" s="37">
        <f t="shared" si="7"/>
        <v>10</v>
      </c>
      <c r="H147" s="34">
        <f>+'[1]Capex'!$E$39</f>
        <v>900000</v>
      </c>
      <c r="I147" s="34">
        <f aca="true" t="shared" si="9" ref="I147:I164">G147*H147</f>
        <v>9000000</v>
      </c>
      <c r="J147" s="34">
        <f>+I147*'[1]Financieros'!$C$148</f>
        <v>1800000</v>
      </c>
      <c r="K147" s="37"/>
      <c r="L147" s="34"/>
      <c r="M147" s="34"/>
      <c r="N147" s="34"/>
      <c r="O147" s="37">
        <f t="shared" si="8"/>
        <v>38</v>
      </c>
      <c r="P147" s="34">
        <f>+'[1]Capex'!$E$39</f>
        <v>900000</v>
      </c>
      <c r="Q147" s="34">
        <f aca="true" t="shared" si="10" ref="Q147:Q164">O147*P147</f>
        <v>34200000</v>
      </c>
      <c r="R147" s="34">
        <f>+Q147*'[1]Financieros'!$C$148</f>
        <v>6840000</v>
      </c>
    </row>
    <row r="148" spans="2:18" ht="15.75">
      <c r="B148" s="31" t="s">
        <v>32</v>
      </c>
      <c r="C148" s="37"/>
      <c r="D148" s="34"/>
      <c r="E148" s="34"/>
      <c r="F148" s="34"/>
      <c r="G148" s="37">
        <f t="shared" si="7"/>
        <v>5</v>
      </c>
      <c r="H148" s="34">
        <f>+'[1]Capex'!$E$39</f>
        <v>900000</v>
      </c>
      <c r="I148" s="34">
        <f t="shared" si="9"/>
        <v>4500000</v>
      </c>
      <c r="J148" s="34">
        <f>+I148*'[1]Financieros'!$C$148</f>
        <v>900000</v>
      </c>
      <c r="K148" s="37"/>
      <c r="L148" s="34"/>
      <c r="M148" s="34"/>
      <c r="N148" s="34"/>
      <c r="O148" s="37">
        <f t="shared" si="8"/>
        <v>27</v>
      </c>
      <c r="P148" s="34">
        <f>+'[1]Capex'!$E$39</f>
        <v>900000</v>
      </c>
      <c r="Q148" s="34">
        <f t="shared" si="10"/>
        <v>24300000</v>
      </c>
      <c r="R148" s="34">
        <f>+Q148*'[1]Financieros'!$C$148</f>
        <v>4860000</v>
      </c>
    </row>
    <row r="149" spans="2:18" ht="15.75">
      <c r="B149" s="31" t="s">
        <v>31</v>
      </c>
      <c r="C149" s="37"/>
      <c r="D149" s="34"/>
      <c r="E149" s="34"/>
      <c r="F149" s="34"/>
      <c r="G149" s="37">
        <f t="shared" si="7"/>
        <v>6</v>
      </c>
      <c r="H149" s="34">
        <f>+'[1]Capex'!$E$39</f>
        <v>900000</v>
      </c>
      <c r="I149" s="34">
        <f t="shared" si="9"/>
        <v>5400000</v>
      </c>
      <c r="J149" s="34">
        <f>+I149*'[1]Financieros'!$C$148</f>
        <v>1080000</v>
      </c>
      <c r="K149" s="37"/>
      <c r="L149" s="34"/>
      <c r="M149" s="34"/>
      <c r="N149" s="34"/>
      <c r="O149" s="37">
        <f t="shared" si="8"/>
        <v>84</v>
      </c>
      <c r="P149" s="34">
        <f>+'[1]Capex'!$E$39</f>
        <v>900000</v>
      </c>
      <c r="Q149" s="34">
        <f t="shared" si="10"/>
        <v>75600000</v>
      </c>
      <c r="R149" s="34">
        <f>+Q149*'[1]Financieros'!$C$148</f>
        <v>15120000</v>
      </c>
    </row>
    <row r="150" spans="2:18" ht="15.75">
      <c r="B150" s="31" t="s">
        <v>30</v>
      </c>
      <c r="C150" s="37"/>
      <c r="D150" s="34"/>
      <c r="E150" s="34"/>
      <c r="F150" s="34"/>
      <c r="G150" s="37">
        <f t="shared" si="7"/>
        <v>14</v>
      </c>
      <c r="H150" s="34">
        <f>+'[1]Capex'!$E$39</f>
        <v>900000</v>
      </c>
      <c r="I150" s="34">
        <f t="shared" si="9"/>
        <v>12600000</v>
      </c>
      <c r="J150" s="34">
        <f>+I150*'[1]Financieros'!$C$148</f>
        <v>2520000</v>
      </c>
      <c r="K150" s="37"/>
      <c r="L150" s="34"/>
      <c r="M150" s="34"/>
      <c r="N150" s="34"/>
      <c r="O150" s="37">
        <f t="shared" si="8"/>
        <v>135</v>
      </c>
      <c r="P150" s="34">
        <f>+'[1]Capex'!$E$39</f>
        <v>900000</v>
      </c>
      <c r="Q150" s="34">
        <f t="shared" si="10"/>
        <v>121500000</v>
      </c>
      <c r="R150" s="34">
        <f>+Q150*'[1]Financieros'!$C$148</f>
        <v>24300000</v>
      </c>
    </row>
    <row r="151" spans="2:18" ht="15.75">
      <c r="B151" s="31" t="s">
        <v>29</v>
      </c>
      <c r="C151" s="37"/>
      <c r="D151" s="34"/>
      <c r="E151" s="34"/>
      <c r="F151" s="34"/>
      <c r="G151" s="37">
        <f t="shared" si="7"/>
        <v>85</v>
      </c>
      <c r="H151" s="34">
        <f>+'[1]Capex'!$E$39</f>
        <v>900000</v>
      </c>
      <c r="I151" s="34">
        <f t="shared" si="9"/>
        <v>76500000</v>
      </c>
      <c r="J151" s="34">
        <f>+I151*'[1]Financieros'!$C$148</f>
        <v>15300000</v>
      </c>
      <c r="K151" s="37"/>
      <c r="L151" s="34"/>
      <c r="M151" s="34"/>
      <c r="N151" s="34"/>
      <c r="O151" s="37">
        <f t="shared" si="8"/>
        <v>220</v>
      </c>
      <c r="P151" s="34">
        <f>+'[1]Capex'!$E$39</f>
        <v>900000</v>
      </c>
      <c r="Q151" s="34">
        <f t="shared" si="10"/>
        <v>198000000</v>
      </c>
      <c r="R151" s="34">
        <f>+Q151*'[1]Financieros'!$C$148</f>
        <v>39600000</v>
      </c>
    </row>
    <row r="152" spans="2:18" ht="15.75">
      <c r="B152" s="31" t="s">
        <v>28</v>
      </c>
      <c r="C152" s="37"/>
      <c r="D152" s="34"/>
      <c r="E152" s="34"/>
      <c r="F152" s="34"/>
      <c r="G152" s="37">
        <f t="shared" si="7"/>
        <v>169</v>
      </c>
      <c r="H152" s="34">
        <f>+'[1]Capex'!$E$39</f>
        <v>900000</v>
      </c>
      <c r="I152" s="34">
        <f t="shared" si="9"/>
        <v>152100000</v>
      </c>
      <c r="J152" s="34">
        <f>+I152*'[1]Financieros'!$C$148</f>
        <v>30420000</v>
      </c>
      <c r="K152" s="37"/>
      <c r="L152" s="34"/>
      <c r="M152" s="34"/>
      <c r="N152" s="34"/>
      <c r="O152" s="37">
        <f t="shared" si="8"/>
        <v>245</v>
      </c>
      <c r="P152" s="34">
        <f>+'[1]Capex'!$E$39</f>
        <v>900000</v>
      </c>
      <c r="Q152" s="34">
        <f t="shared" si="10"/>
        <v>220500000</v>
      </c>
      <c r="R152" s="34">
        <f>+Q152*'[1]Financieros'!$C$148</f>
        <v>44100000</v>
      </c>
    </row>
    <row r="153" spans="2:18" ht="15.75">
      <c r="B153" s="31" t="s">
        <v>27</v>
      </c>
      <c r="C153" s="37"/>
      <c r="D153" s="34"/>
      <c r="E153" s="34"/>
      <c r="F153" s="34"/>
      <c r="G153" s="37">
        <f t="shared" si="7"/>
        <v>28</v>
      </c>
      <c r="H153" s="34">
        <f>+'[1]Capex'!$E$39</f>
        <v>900000</v>
      </c>
      <c r="I153" s="34">
        <f t="shared" si="9"/>
        <v>25200000</v>
      </c>
      <c r="J153" s="34">
        <f>+I153*'[1]Financieros'!$C$148</f>
        <v>5040000</v>
      </c>
      <c r="K153" s="37"/>
      <c r="L153" s="34"/>
      <c r="M153" s="34"/>
      <c r="N153" s="34"/>
      <c r="O153" s="37">
        <f t="shared" si="8"/>
        <v>46</v>
      </c>
      <c r="P153" s="34">
        <f>+'[1]Capex'!$E$39</f>
        <v>900000</v>
      </c>
      <c r="Q153" s="34">
        <f t="shared" si="10"/>
        <v>41400000</v>
      </c>
      <c r="R153" s="34">
        <f>+Q153*'[1]Financieros'!$C$148</f>
        <v>8280000</v>
      </c>
    </row>
    <row r="154" spans="2:18" ht="15.75">
      <c r="B154" s="31" t="s">
        <v>26</v>
      </c>
      <c r="C154" s="37"/>
      <c r="D154" s="34"/>
      <c r="E154" s="34"/>
      <c r="F154" s="34"/>
      <c r="G154" s="37">
        <f t="shared" si="7"/>
        <v>19</v>
      </c>
      <c r="H154" s="34">
        <f>+'[1]Capex'!$E$39</f>
        <v>900000</v>
      </c>
      <c r="I154" s="34">
        <f t="shared" si="9"/>
        <v>17100000</v>
      </c>
      <c r="J154" s="34">
        <f>+I154*'[1]Financieros'!$C$148</f>
        <v>3420000</v>
      </c>
      <c r="K154" s="37"/>
      <c r="L154" s="34"/>
      <c r="M154" s="34"/>
      <c r="N154" s="34"/>
      <c r="O154" s="37">
        <f t="shared" si="8"/>
        <v>30</v>
      </c>
      <c r="P154" s="34">
        <f>+'[1]Capex'!$E$58</f>
        <v>900000</v>
      </c>
      <c r="Q154" s="34">
        <f t="shared" si="10"/>
        <v>27000000</v>
      </c>
      <c r="R154" s="34">
        <f>+Q154*'[1]Financieros'!$C$148</f>
        <v>5400000</v>
      </c>
    </row>
    <row r="155" spans="2:18" ht="15.75">
      <c r="B155" s="31" t="s">
        <v>25</v>
      </c>
      <c r="C155" s="37"/>
      <c r="D155" s="34"/>
      <c r="E155" s="34"/>
      <c r="F155" s="34"/>
      <c r="G155" s="37">
        <f t="shared" si="7"/>
        <v>34</v>
      </c>
      <c r="H155" s="34">
        <f>+'[1]Capex'!$E$39</f>
        <v>900000</v>
      </c>
      <c r="I155" s="34">
        <f t="shared" si="9"/>
        <v>30600000</v>
      </c>
      <c r="J155" s="34">
        <f>+I155*'[1]Financieros'!$C$148</f>
        <v>6120000</v>
      </c>
      <c r="K155" s="37"/>
      <c r="L155" s="34"/>
      <c r="M155" s="34"/>
      <c r="N155" s="34"/>
      <c r="O155" s="37">
        <f t="shared" si="8"/>
        <v>52</v>
      </c>
      <c r="P155" s="34">
        <f>+'[1]Capex'!$E$58</f>
        <v>900000</v>
      </c>
      <c r="Q155" s="34">
        <f t="shared" si="10"/>
        <v>46800000</v>
      </c>
      <c r="R155" s="34">
        <f>+Q155*'[1]Financieros'!$C$148</f>
        <v>9360000</v>
      </c>
    </row>
    <row r="156" spans="2:18" ht="15.75">
      <c r="B156" s="31" t="s">
        <v>24</v>
      </c>
      <c r="C156" s="37"/>
      <c r="D156" s="34"/>
      <c r="E156" s="34"/>
      <c r="F156" s="34"/>
      <c r="G156" s="37">
        <f t="shared" si="7"/>
        <v>26</v>
      </c>
      <c r="H156" s="34">
        <f>+'[1]Capex'!$E$39</f>
        <v>900000</v>
      </c>
      <c r="I156" s="34">
        <f t="shared" si="9"/>
        <v>23400000</v>
      </c>
      <c r="J156" s="34">
        <f>+I156*'[1]Financieros'!$C$148</f>
        <v>4680000</v>
      </c>
      <c r="K156" s="37"/>
      <c r="L156" s="34"/>
      <c r="M156" s="34"/>
      <c r="N156" s="34"/>
      <c r="O156" s="37">
        <f t="shared" si="8"/>
        <v>39</v>
      </c>
      <c r="P156" s="34">
        <f>+'[1]Capex'!$E$58</f>
        <v>900000</v>
      </c>
      <c r="Q156" s="34">
        <f t="shared" si="10"/>
        <v>35100000</v>
      </c>
      <c r="R156" s="34">
        <f>+Q156*'[1]Financieros'!$C$148</f>
        <v>7020000</v>
      </c>
    </row>
    <row r="157" spans="2:18" ht="15.75">
      <c r="B157" s="31" t="s">
        <v>23</v>
      </c>
      <c r="C157" s="37"/>
      <c r="D157" s="34"/>
      <c r="E157" s="34"/>
      <c r="F157" s="34"/>
      <c r="G157" s="37">
        <f t="shared" si="7"/>
        <v>70</v>
      </c>
      <c r="H157" s="34">
        <f>+'[1]Capex'!$E$39</f>
        <v>900000</v>
      </c>
      <c r="I157" s="34">
        <f t="shared" si="9"/>
        <v>63000000</v>
      </c>
      <c r="J157" s="34">
        <f>+I157*'[1]Financieros'!$C$148</f>
        <v>12600000</v>
      </c>
      <c r="K157" s="37"/>
      <c r="L157" s="34"/>
      <c r="M157" s="34"/>
      <c r="N157" s="34"/>
      <c r="O157" s="37">
        <f t="shared" si="8"/>
        <v>86</v>
      </c>
      <c r="P157" s="34">
        <f>+'[1]Capex'!$E$58</f>
        <v>900000</v>
      </c>
      <c r="Q157" s="34">
        <f t="shared" si="10"/>
        <v>77400000</v>
      </c>
      <c r="R157" s="34">
        <f>+Q157*'[1]Financieros'!$C$148</f>
        <v>15480000</v>
      </c>
    </row>
    <row r="158" spans="2:18" ht="15.75">
      <c r="B158" s="31" t="s">
        <v>22</v>
      </c>
      <c r="C158" s="37"/>
      <c r="D158" s="34"/>
      <c r="E158" s="34"/>
      <c r="F158" s="34"/>
      <c r="G158" s="37">
        <f t="shared" si="7"/>
        <v>184</v>
      </c>
      <c r="H158" s="34">
        <f>+'[1]Capex'!$E$39</f>
        <v>900000</v>
      </c>
      <c r="I158" s="34">
        <f t="shared" si="9"/>
        <v>165600000</v>
      </c>
      <c r="J158" s="34">
        <f>+I158*'[1]Financieros'!$C$148</f>
        <v>33120000</v>
      </c>
      <c r="K158" s="37"/>
      <c r="L158" s="34"/>
      <c r="M158" s="34"/>
      <c r="N158" s="34"/>
      <c r="O158" s="37">
        <f t="shared" si="8"/>
        <v>249</v>
      </c>
      <c r="P158" s="34">
        <f>+'[1]Capex'!$E$58</f>
        <v>900000</v>
      </c>
      <c r="Q158" s="34">
        <f t="shared" si="10"/>
        <v>224100000</v>
      </c>
      <c r="R158" s="34">
        <f>+Q158*'[1]Financieros'!$C$148</f>
        <v>44820000</v>
      </c>
    </row>
    <row r="159" spans="2:18" ht="15.75">
      <c r="B159" s="31" t="s">
        <v>21</v>
      </c>
      <c r="C159" s="37"/>
      <c r="D159" s="34"/>
      <c r="E159" s="34"/>
      <c r="F159" s="34"/>
      <c r="G159" s="37">
        <f t="shared" si="7"/>
        <v>324</v>
      </c>
      <c r="H159" s="34">
        <f>+'[1]Capex'!$E$39</f>
        <v>900000</v>
      </c>
      <c r="I159" s="34">
        <f t="shared" si="9"/>
        <v>291600000</v>
      </c>
      <c r="J159" s="34">
        <f>+I159*'[1]Financieros'!$C$148</f>
        <v>58320000</v>
      </c>
      <c r="K159" s="37"/>
      <c r="L159" s="34"/>
      <c r="M159" s="34"/>
      <c r="N159" s="34"/>
      <c r="O159" s="37">
        <f t="shared" si="8"/>
        <v>313</v>
      </c>
      <c r="P159" s="34">
        <f>+'[1]Capex'!$E$58</f>
        <v>900000</v>
      </c>
      <c r="Q159" s="34">
        <f t="shared" si="10"/>
        <v>281700000</v>
      </c>
      <c r="R159" s="34">
        <f>+Q159*'[1]Financieros'!$C$148</f>
        <v>56340000</v>
      </c>
    </row>
    <row r="160" spans="2:18" ht="15.75">
      <c r="B160" s="31" t="s">
        <v>20</v>
      </c>
      <c r="C160" s="37"/>
      <c r="D160" s="34"/>
      <c r="E160" s="34"/>
      <c r="F160" s="34"/>
      <c r="G160" s="37">
        <f t="shared" si="7"/>
        <v>337</v>
      </c>
      <c r="H160" s="34">
        <f>+'[1]Capex'!$E$77</f>
        <v>1220000</v>
      </c>
      <c r="I160" s="34">
        <f t="shared" si="9"/>
        <v>411140000</v>
      </c>
      <c r="J160" s="34">
        <f>+I160*'[1]Financieros'!$C$148</f>
        <v>82228000</v>
      </c>
      <c r="K160" s="37"/>
      <c r="L160" s="34"/>
      <c r="M160" s="34"/>
      <c r="N160" s="34"/>
      <c r="O160" s="37">
        <f t="shared" si="8"/>
        <v>288</v>
      </c>
      <c r="P160" s="34">
        <f>+'[1]Capex'!$E$77</f>
        <v>1220000</v>
      </c>
      <c r="Q160" s="34">
        <f t="shared" si="10"/>
        <v>351360000</v>
      </c>
      <c r="R160" s="34">
        <f>+Q160*'[1]Financieros'!$C$148</f>
        <v>70272000</v>
      </c>
    </row>
    <row r="161" spans="2:18" ht="15.75">
      <c r="B161" s="31" t="s">
        <v>198</v>
      </c>
      <c r="C161" s="37"/>
      <c r="D161" s="34"/>
      <c r="E161" s="34"/>
      <c r="F161" s="34"/>
      <c r="G161" s="37">
        <f t="shared" si="7"/>
        <v>0</v>
      </c>
      <c r="H161" s="34">
        <f>AVERAGE(H146:H160)</f>
        <v>921333.3333333334</v>
      </c>
      <c r="I161" s="34">
        <f t="shared" si="9"/>
        <v>0</v>
      </c>
      <c r="J161" s="34">
        <f>+I161*'[1]Financieros'!$C$148</f>
        <v>0</v>
      </c>
      <c r="K161" s="37"/>
      <c r="L161" s="34"/>
      <c r="M161" s="34"/>
      <c r="N161" s="34"/>
      <c r="O161" s="37">
        <f t="shared" si="8"/>
        <v>0</v>
      </c>
      <c r="P161" s="34">
        <f>AVERAGE(P146:P160)</f>
        <v>921333.3333333334</v>
      </c>
      <c r="Q161" s="34">
        <f t="shared" si="10"/>
        <v>0</v>
      </c>
      <c r="R161" s="34">
        <f>+Q161*'[1]Financieros'!$C$148</f>
        <v>0</v>
      </c>
    </row>
    <row r="162" spans="2:18" ht="15.75">
      <c r="B162" s="56" t="s">
        <v>206</v>
      </c>
      <c r="C162" s="37"/>
      <c r="D162" s="34"/>
      <c r="E162" s="34"/>
      <c r="F162" s="34"/>
      <c r="G162" s="37"/>
      <c r="H162" s="34"/>
      <c r="I162" s="34"/>
      <c r="J162" s="34"/>
      <c r="K162" s="37"/>
      <c r="L162" s="34"/>
      <c r="M162" s="34"/>
      <c r="N162" s="34"/>
      <c r="O162" s="37"/>
      <c r="P162" s="34"/>
      <c r="Q162" s="34"/>
      <c r="R162" s="34"/>
    </row>
    <row r="163" spans="2:18" ht="15.75">
      <c r="B163" s="121" t="s">
        <v>204</v>
      </c>
      <c r="C163" s="37"/>
      <c r="D163" s="34"/>
      <c r="E163" s="34"/>
      <c r="F163" s="34"/>
      <c r="G163" s="37">
        <f>IF('[1]Tablero de Control'!$B$47='[1]Tablero de Control'!$S$65,0,SUM(G146:G160))</f>
        <v>0</v>
      </c>
      <c r="H163" s="34">
        <f>'[1]Capex'!$D$160</f>
        <v>1226538</v>
      </c>
      <c r="I163" s="34">
        <f t="shared" si="9"/>
        <v>0</v>
      </c>
      <c r="J163" s="34">
        <f>+I163*'[1]Financieros'!$C$148</f>
        <v>0</v>
      </c>
      <c r="K163" s="37"/>
      <c r="L163" s="34"/>
      <c r="M163" s="34"/>
      <c r="N163" s="34"/>
      <c r="O163" s="37"/>
      <c r="P163" s="34"/>
      <c r="Q163" s="34"/>
      <c r="R163" s="34"/>
    </row>
    <row r="164" spans="2:18" ht="15.75">
      <c r="B164" s="36" t="s">
        <v>119</v>
      </c>
      <c r="C164" s="37"/>
      <c r="D164" s="34"/>
      <c r="E164" s="34"/>
      <c r="F164" s="34"/>
      <c r="G164" s="37">
        <f>+G142</f>
        <v>1353</v>
      </c>
      <c r="H164" s="34">
        <f>+'[1]Capex'!$D$89</f>
        <v>2400000</v>
      </c>
      <c r="I164" s="34">
        <f t="shared" si="9"/>
        <v>3247200000</v>
      </c>
      <c r="J164" s="34">
        <f>+I164*'[1]Financieros'!$C$148</f>
        <v>649440000</v>
      </c>
      <c r="K164" s="37"/>
      <c r="L164" s="34"/>
      <c r="M164" s="34"/>
      <c r="N164" s="34"/>
      <c r="O164" s="37">
        <f>+O142</f>
        <v>1904</v>
      </c>
      <c r="P164" s="34">
        <f>+'[1]Capex'!$D$89</f>
        <v>2400000</v>
      </c>
      <c r="Q164" s="34">
        <f t="shared" si="10"/>
        <v>4569600000</v>
      </c>
      <c r="R164" s="34">
        <f>+Q164*'[1]Financieros'!$C$148</f>
        <v>913920000</v>
      </c>
    </row>
    <row r="165" spans="2:18" ht="15.75">
      <c r="B165" s="36" t="s">
        <v>124</v>
      </c>
      <c r="C165" s="37"/>
      <c r="D165" s="34"/>
      <c r="E165" s="34"/>
      <c r="F165" s="34"/>
      <c r="G165" s="37"/>
      <c r="H165" s="34"/>
      <c r="I165" s="34">
        <f>+SUM('[1]Capex'!$C$92:$C$103)*'[1]Financieros'!$C$13</f>
        <v>262755103.05</v>
      </c>
      <c r="J165" s="34">
        <f>+I165*'[1]Financieros'!$C$148</f>
        <v>52551020.61000001</v>
      </c>
      <c r="K165" s="37"/>
      <c r="L165" s="34"/>
      <c r="M165" s="34"/>
      <c r="N165" s="34"/>
      <c r="O165" s="37"/>
      <c r="P165" s="34"/>
      <c r="Q165" s="34">
        <f>+SUM('[1]Capex'!$C$92:$C$103)*'[1]Financieros'!$C$13</f>
        <v>262755103.05</v>
      </c>
      <c r="R165" s="34">
        <f>+Q165*'[1]Financieros'!$C$148</f>
        <v>52551020.61000001</v>
      </c>
    </row>
    <row r="166" spans="2:18" ht="15.75">
      <c r="B166" s="33" t="s">
        <v>122</v>
      </c>
      <c r="C166" s="33"/>
      <c r="D166" s="33"/>
      <c r="E166" s="32"/>
      <c r="F166" s="32"/>
      <c r="G166" s="33"/>
      <c r="H166" s="33"/>
      <c r="I166" s="32">
        <f>SUM(I146:I165)</f>
        <v>4797695103.05</v>
      </c>
      <c r="J166" s="32">
        <f>SUM(J146:J165)</f>
        <v>959539020.61</v>
      </c>
      <c r="K166" s="33"/>
      <c r="L166" s="33"/>
      <c r="M166" s="32"/>
      <c r="N166" s="32"/>
      <c r="O166" s="33"/>
      <c r="P166" s="33"/>
      <c r="Q166" s="32">
        <f>SUM(Q146:Q165)</f>
        <v>6600315103.05</v>
      </c>
      <c r="R166" s="32">
        <f>SUM(R146:R165)</f>
        <v>1320063020.61</v>
      </c>
    </row>
    <row r="167" ht="15.75">
      <c r="B167" s="74" t="s">
        <v>18</v>
      </c>
    </row>
    <row r="168" spans="2:18" ht="15.75">
      <c r="B168" s="31" t="s">
        <v>34</v>
      </c>
      <c r="C168" s="37"/>
      <c r="D168" s="34"/>
      <c r="E168" s="34"/>
      <c r="F168" s="34"/>
      <c r="G168" s="37">
        <f>+G146</f>
        <v>0</v>
      </c>
      <c r="H168" s="34">
        <f>+'[1]Capex'!$E$43</f>
        <v>1080000</v>
      </c>
      <c r="I168" s="34">
        <f>G168*H168</f>
        <v>0</v>
      </c>
      <c r="J168" s="34">
        <f>+I168*'[1]Financieros'!$C$149</f>
        <v>0</v>
      </c>
      <c r="K168" s="37"/>
      <c r="L168" s="34"/>
      <c r="M168" s="34"/>
      <c r="N168" s="34"/>
      <c r="O168" s="37">
        <f>+O146</f>
        <v>10</v>
      </c>
      <c r="P168" s="34">
        <f>+'[1]Capex'!$E$43</f>
        <v>1080000</v>
      </c>
      <c r="Q168" s="34">
        <f>O168*P168</f>
        <v>10800000</v>
      </c>
      <c r="R168" s="34">
        <f>+Q168*'[1]Financieros'!$C$149</f>
        <v>2160000</v>
      </c>
    </row>
    <row r="169" spans="2:18" ht="15.75">
      <c r="B169" s="31" t="s">
        <v>33</v>
      </c>
      <c r="C169" s="37"/>
      <c r="D169" s="34"/>
      <c r="E169" s="34"/>
      <c r="F169" s="34"/>
      <c r="G169" s="37">
        <f aca="true" t="shared" si="11" ref="G169:G183">+G147</f>
        <v>10</v>
      </c>
      <c r="H169" s="34">
        <f>+'[1]Capex'!$E$43</f>
        <v>1080000</v>
      </c>
      <c r="I169" s="34">
        <f aca="true" t="shared" si="12" ref="I169:I183">G169*H169</f>
        <v>10800000</v>
      </c>
      <c r="J169" s="34">
        <f>+I169*'[1]Financieros'!$C$149</f>
        <v>2160000</v>
      </c>
      <c r="K169" s="37"/>
      <c r="L169" s="34"/>
      <c r="M169" s="34"/>
      <c r="N169" s="34"/>
      <c r="O169" s="37">
        <f aca="true" t="shared" si="13" ref="O169:O183">+O147</f>
        <v>38</v>
      </c>
      <c r="P169" s="34">
        <f>+'[1]Capex'!$E$43</f>
        <v>1080000</v>
      </c>
      <c r="Q169" s="34">
        <f aca="true" t="shared" si="14" ref="Q169:Q183">O169*P169</f>
        <v>41040000</v>
      </c>
      <c r="R169" s="34">
        <f>+Q169*'[1]Financieros'!$C$149</f>
        <v>8208000</v>
      </c>
    </row>
    <row r="170" spans="2:18" ht="15.75">
      <c r="B170" s="31" t="s">
        <v>32</v>
      </c>
      <c r="C170" s="37"/>
      <c r="D170" s="34"/>
      <c r="E170" s="34"/>
      <c r="F170" s="34"/>
      <c r="G170" s="37">
        <f t="shared" si="11"/>
        <v>5</v>
      </c>
      <c r="H170" s="34">
        <f>+'[1]Capex'!$E$43</f>
        <v>1080000</v>
      </c>
      <c r="I170" s="34">
        <f t="shared" si="12"/>
        <v>5400000</v>
      </c>
      <c r="J170" s="34">
        <f>+I170*'[1]Financieros'!$C$149</f>
        <v>1080000</v>
      </c>
      <c r="K170" s="37"/>
      <c r="L170" s="34"/>
      <c r="M170" s="34"/>
      <c r="N170" s="34"/>
      <c r="O170" s="37">
        <f t="shared" si="13"/>
        <v>27</v>
      </c>
      <c r="P170" s="34">
        <f>+'[1]Capex'!$E$43</f>
        <v>1080000</v>
      </c>
      <c r="Q170" s="34">
        <f t="shared" si="14"/>
        <v>29160000</v>
      </c>
      <c r="R170" s="34">
        <f>+Q170*'[1]Financieros'!$C$149</f>
        <v>5832000</v>
      </c>
    </row>
    <row r="171" spans="2:18" ht="15.75">
      <c r="B171" s="31" t="s">
        <v>31</v>
      </c>
      <c r="C171" s="37"/>
      <c r="D171" s="34"/>
      <c r="E171" s="34"/>
      <c r="F171" s="34"/>
      <c r="G171" s="37">
        <f t="shared" si="11"/>
        <v>6</v>
      </c>
      <c r="H171" s="34">
        <f>+'[1]Capex'!$E$43</f>
        <v>1080000</v>
      </c>
      <c r="I171" s="34">
        <f t="shared" si="12"/>
        <v>6480000</v>
      </c>
      <c r="J171" s="34">
        <f>+I171*'[1]Financieros'!$C$149</f>
        <v>1296000</v>
      </c>
      <c r="K171" s="37"/>
      <c r="L171" s="34"/>
      <c r="M171" s="34"/>
      <c r="N171" s="34"/>
      <c r="O171" s="37">
        <f t="shared" si="13"/>
        <v>84</v>
      </c>
      <c r="P171" s="34">
        <f>+'[1]Capex'!$E$43</f>
        <v>1080000</v>
      </c>
      <c r="Q171" s="34">
        <f t="shared" si="14"/>
        <v>90720000</v>
      </c>
      <c r="R171" s="34">
        <f>+Q171*'[1]Financieros'!$C$149</f>
        <v>18144000</v>
      </c>
    </row>
    <row r="172" spans="2:18" ht="15.75">
      <c r="B172" s="31" t="s">
        <v>30</v>
      </c>
      <c r="C172" s="37"/>
      <c r="D172" s="34"/>
      <c r="E172" s="34"/>
      <c r="F172" s="34"/>
      <c r="G172" s="37">
        <f t="shared" si="11"/>
        <v>14</v>
      </c>
      <c r="H172" s="34">
        <f>+'[1]Capex'!$E$43</f>
        <v>1080000</v>
      </c>
      <c r="I172" s="34">
        <f t="shared" si="12"/>
        <v>15120000</v>
      </c>
      <c r="J172" s="34">
        <f>+I172*'[1]Financieros'!$C$149</f>
        <v>3024000</v>
      </c>
      <c r="K172" s="37"/>
      <c r="L172" s="34"/>
      <c r="M172" s="34"/>
      <c r="N172" s="34"/>
      <c r="O172" s="37">
        <f t="shared" si="13"/>
        <v>135</v>
      </c>
      <c r="P172" s="34">
        <f>+'[1]Capex'!$E$43</f>
        <v>1080000</v>
      </c>
      <c r="Q172" s="34">
        <f t="shared" si="14"/>
        <v>145800000</v>
      </c>
      <c r="R172" s="34">
        <f>+Q172*'[1]Financieros'!$C$149</f>
        <v>29160000</v>
      </c>
    </row>
    <row r="173" spans="2:18" ht="15.75">
      <c r="B173" s="31" t="s">
        <v>29</v>
      </c>
      <c r="C173" s="37"/>
      <c r="D173" s="34"/>
      <c r="E173" s="34"/>
      <c r="F173" s="34"/>
      <c r="G173" s="37">
        <f t="shared" si="11"/>
        <v>85</v>
      </c>
      <c r="H173" s="34">
        <f>+'[1]Capex'!$E$43</f>
        <v>1080000</v>
      </c>
      <c r="I173" s="34">
        <f t="shared" si="12"/>
        <v>91800000</v>
      </c>
      <c r="J173" s="34">
        <f>+I173*'[1]Financieros'!$C$149</f>
        <v>18360000</v>
      </c>
      <c r="K173" s="37"/>
      <c r="L173" s="34"/>
      <c r="M173" s="34"/>
      <c r="N173" s="34"/>
      <c r="O173" s="37">
        <f t="shared" si="13"/>
        <v>220</v>
      </c>
      <c r="P173" s="34">
        <f>+'[1]Capex'!$E$43</f>
        <v>1080000</v>
      </c>
      <c r="Q173" s="34">
        <f t="shared" si="14"/>
        <v>237600000</v>
      </c>
      <c r="R173" s="34">
        <f>+Q173*'[1]Financieros'!$C$149</f>
        <v>47520000</v>
      </c>
    </row>
    <row r="174" spans="2:18" ht="15.75">
      <c r="B174" s="31" t="s">
        <v>28</v>
      </c>
      <c r="C174" s="37"/>
      <c r="D174" s="34"/>
      <c r="E174" s="34"/>
      <c r="F174" s="34"/>
      <c r="G174" s="37">
        <f t="shared" si="11"/>
        <v>169</v>
      </c>
      <c r="H174" s="34">
        <f>+'[1]Capex'!$E$43</f>
        <v>1080000</v>
      </c>
      <c r="I174" s="34">
        <f t="shared" si="12"/>
        <v>182520000</v>
      </c>
      <c r="J174" s="34">
        <f>+I174*'[1]Financieros'!$C$149</f>
        <v>36504000</v>
      </c>
      <c r="K174" s="37"/>
      <c r="L174" s="34"/>
      <c r="M174" s="34"/>
      <c r="N174" s="34"/>
      <c r="O174" s="37">
        <f t="shared" si="13"/>
        <v>245</v>
      </c>
      <c r="P174" s="34">
        <f>+'[1]Capex'!$E$43</f>
        <v>1080000</v>
      </c>
      <c r="Q174" s="34">
        <f t="shared" si="14"/>
        <v>264600000</v>
      </c>
      <c r="R174" s="34">
        <f>+Q174*'[1]Financieros'!$C$149</f>
        <v>52920000</v>
      </c>
    </row>
    <row r="175" spans="2:18" ht="15.75">
      <c r="B175" s="31" t="s">
        <v>27</v>
      </c>
      <c r="C175" s="37"/>
      <c r="D175" s="34"/>
      <c r="E175" s="34"/>
      <c r="F175" s="34"/>
      <c r="G175" s="37">
        <f t="shared" si="11"/>
        <v>28</v>
      </c>
      <c r="H175" s="34">
        <f>+'[1]Capex'!$E$43</f>
        <v>1080000</v>
      </c>
      <c r="I175" s="34">
        <f t="shared" si="12"/>
        <v>30240000</v>
      </c>
      <c r="J175" s="34">
        <f>+I175*'[1]Financieros'!$C$149</f>
        <v>6048000</v>
      </c>
      <c r="K175" s="37"/>
      <c r="L175" s="34"/>
      <c r="M175" s="34"/>
      <c r="N175" s="34"/>
      <c r="O175" s="37">
        <f t="shared" si="13"/>
        <v>46</v>
      </c>
      <c r="P175" s="34">
        <f>+'[1]Capex'!$E$43</f>
        <v>1080000</v>
      </c>
      <c r="Q175" s="34">
        <f t="shared" si="14"/>
        <v>49680000</v>
      </c>
      <c r="R175" s="34">
        <f>+Q175*'[1]Financieros'!$C$149</f>
        <v>9936000</v>
      </c>
    </row>
    <row r="176" spans="2:18" ht="15.75">
      <c r="B176" s="31" t="s">
        <v>26</v>
      </c>
      <c r="C176" s="37"/>
      <c r="D176" s="34"/>
      <c r="E176" s="34"/>
      <c r="F176" s="34"/>
      <c r="G176" s="37">
        <f t="shared" si="11"/>
        <v>19</v>
      </c>
      <c r="H176" s="34">
        <f>+'[1]Capex'!$E$62</f>
        <v>1080000</v>
      </c>
      <c r="I176" s="34">
        <f t="shared" si="12"/>
        <v>20520000</v>
      </c>
      <c r="J176" s="34">
        <f>+I176*'[1]Financieros'!$C$149</f>
        <v>4104000</v>
      </c>
      <c r="K176" s="37"/>
      <c r="L176" s="34"/>
      <c r="M176" s="34"/>
      <c r="N176" s="34"/>
      <c r="O176" s="37">
        <f t="shared" si="13"/>
        <v>30</v>
      </c>
      <c r="P176" s="34">
        <f>+'[1]Capex'!$E$62</f>
        <v>1080000</v>
      </c>
      <c r="Q176" s="34">
        <f t="shared" si="14"/>
        <v>32400000</v>
      </c>
      <c r="R176" s="34">
        <f>+Q176*'[1]Financieros'!$C$149</f>
        <v>6480000</v>
      </c>
    </row>
    <row r="177" spans="2:18" ht="15.75">
      <c r="B177" s="31" t="s">
        <v>25</v>
      </c>
      <c r="C177" s="37"/>
      <c r="D177" s="34"/>
      <c r="E177" s="34"/>
      <c r="F177" s="34"/>
      <c r="G177" s="37">
        <f t="shared" si="11"/>
        <v>34</v>
      </c>
      <c r="H177" s="34">
        <f>+'[1]Capex'!$E$62</f>
        <v>1080000</v>
      </c>
      <c r="I177" s="34">
        <f t="shared" si="12"/>
        <v>36720000</v>
      </c>
      <c r="J177" s="34">
        <f>+I177*'[1]Financieros'!$C$149</f>
        <v>7344000</v>
      </c>
      <c r="K177" s="37"/>
      <c r="L177" s="34"/>
      <c r="M177" s="34"/>
      <c r="N177" s="34"/>
      <c r="O177" s="37">
        <f t="shared" si="13"/>
        <v>52</v>
      </c>
      <c r="P177" s="34">
        <f>+'[1]Capex'!$E$62</f>
        <v>1080000</v>
      </c>
      <c r="Q177" s="34">
        <f t="shared" si="14"/>
        <v>56160000</v>
      </c>
      <c r="R177" s="34">
        <f>+Q177*'[1]Financieros'!$C$149</f>
        <v>11232000</v>
      </c>
    </row>
    <row r="178" spans="2:18" ht="15.75">
      <c r="B178" s="31" t="s">
        <v>24</v>
      </c>
      <c r="C178" s="37"/>
      <c r="D178" s="34"/>
      <c r="E178" s="34"/>
      <c r="F178" s="34"/>
      <c r="G178" s="37">
        <f t="shared" si="11"/>
        <v>26</v>
      </c>
      <c r="H178" s="34">
        <f>+'[1]Capex'!$E$62</f>
        <v>1080000</v>
      </c>
      <c r="I178" s="34">
        <f t="shared" si="12"/>
        <v>28080000</v>
      </c>
      <c r="J178" s="34">
        <f>+I178*'[1]Financieros'!$C$149</f>
        <v>5616000</v>
      </c>
      <c r="K178" s="37"/>
      <c r="L178" s="34"/>
      <c r="M178" s="34"/>
      <c r="N178" s="34"/>
      <c r="O178" s="37">
        <f t="shared" si="13"/>
        <v>39</v>
      </c>
      <c r="P178" s="34">
        <f>+'[1]Capex'!$E$62</f>
        <v>1080000</v>
      </c>
      <c r="Q178" s="34">
        <f t="shared" si="14"/>
        <v>42120000</v>
      </c>
      <c r="R178" s="34">
        <f>+Q178*'[1]Financieros'!$C$149</f>
        <v>8424000</v>
      </c>
    </row>
    <row r="179" spans="2:18" ht="15.75">
      <c r="B179" s="31" t="s">
        <v>23</v>
      </c>
      <c r="C179" s="37"/>
      <c r="D179" s="34"/>
      <c r="E179" s="34"/>
      <c r="F179" s="34"/>
      <c r="G179" s="37">
        <f t="shared" si="11"/>
        <v>70</v>
      </c>
      <c r="H179" s="34">
        <f>+'[1]Capex'!$E$62</f>
        <v>1080000</v>
      </c>
      <c r="I179" s="34">
        <f t="shared" si="12"/>
        <v>75600000</v>
      </c>
      <c r="J179" s="34">
        <f>+I179*'[1]Financieros'!$C$149</f>
        <v>15120000</v>
      </c>
      <c r="K179" s="37"/>
      <c r="L179" s="34"/>
      <c r="M179" s="34"/>
      <c r="N179" s="34"/>
      <c r="O179" s="37">
        <f t="shared" si="13"/>
        <v>86</v>
      </c>
      <c r="P179" s="34">
        <f>+'[1]Capex'!$E$62</f>
        <v>1080000</v>
      </c>
      <c r="Q179" s="34">
        <f t="shared" si="14"/>
        <v>92880000</v>
      </c>
      <c r="R179" s="34">
        <f>+Q179*'[1]Financieros'!$C$149</f>
        <v>18576000</v>
      </c>
    </row>
    <row r="180" spans="2:18" ht="15.75">
      <c r="B180" s="31" t="s">
        <v>22</v>
      </c>
      <c r="C180" s="37"/>
      <c r="D180" s="34"/>
      <c r="E180" s="34"/>
      <c r="F180" s="34"/>
      <c r="G180" s="37">
        <f t="shared" si="11"/>
        <v>184</v>
      </c>
      <c r="H180" s="34">
        <f>+'[1]Capex'!$E$62</f>
        <v>1080000</v>
      </c>
      <c r="I180" s="34">
        <f t="shared" si="12"/>
        <v>198720000</v>
      </c>
      <c r="J180" s="34">
        <f>+I180*'[1]Financieros'!$C$149</f>
        <v>39744000</v>
      </c>
      <c r="K180" s="37"/>
      <c r="L180" s="34"/>
      <c r="M180" s="34"/>
      <c r="N180" s="34"/>
      <c r="O180" s="37">
        <f t="shared" si="13"/>
        <v>249</v>
      </c>
      <c r="P180" s="34">
        <f>+'[1]Capex'!$E$62</f>
        <v>1080000</v>
      </c>
      <c r="Q180" s="34">
        <f t="shared" si="14"/>
        <v>268920000</v>
      </c>
      <c r="R180" s="34">
        <f>+Q180*'[1]Financieros'!$C$149</f>
        <v>53784000</v>
      </c>
    </row>
    <row r="181" spans="2:18" ht="15.75">
      <c r="B181" s="31" t="s">
        <v>21</v>
      </c>
      <c r="C181" s="37"/>
      <c r="D181" s="34"/>
      <c r="E181" s="34"/>
      <c r="F181" s="34"/>
      <c r="G181" s="37">
        <f t="shared" si="11"/>
        <v>324</v>
      </c>
      <c r="H181" s="34">
        <f>+'[1]Capex'!$E$81</f>
        <v>1080000</v>
      </c>
      <c r="I181" s="34">
        <f t="shared" si="12"/>
        <v>349920000</v>
      </c>
      <c r="J181" s="34">
        <f>+I181*'[1]Financieros'!$C$149</f>
        <v>69984000</v>
      </c>
      <c r="K181" s="37"/>
      <c r="L181" s="34"/>
      <c r="M181" s="34"/>
      <c r="N181" s="34"/>
      <c r="O181" s="37">
        <f t="shared" si="13"/>
        <v>313</v>
      </c>
      <c r="P181" s="34">
        <f>+'[1]Capex'!$E$81</f>
        <v>1080000</v>
      </c>
      <c r="Q181" s="34">
        <f t="shared" si="14"/>
        <v>338040000</v>
      </c>
      <c r="R181" s="34">
        <f>+Q181*'[1]Financieros'!$C$149</f>
        <v>67608000</v>
      </c>
    </row>
    <row r="182" spans="2:18" ht="15.75">
      <c r="B182" s="31" t="s">
        <v>20</v>
      </c>
      <c r="C182" s="37"/>
      <c r="D182" s="34"/>
      <c r="E182" s="34"/>
      <c r="F182" s="34"/>
      <c r="G182" s="37">
        <f t="shared" si="11"/>
        <v>337</v>
      </c>
      <c r="H182" s="34">
        <f>+'[1]Capex'!$E$81</f>
        <v>1080000</v>
      </c>
      <c r="I182" s="34">
        <f t="shared" si="12"/>
        <v>363960000</v>
      </c>
      <c r="J182" s="34">
        <f>+I182*'[1]Financieros'!$C$149</f>
        <v>72792000</v>
      </c>
      <c r="K182" s="37"/>
      <c r="L182" s="34"/>
      <c r="M182" s="34"/>
      <c r="N182" s="34"/>
      <c r="O182" s="37">
        <f t="shared" si="13"/>
        <v>288</v>
      </c>
      <c r="P182" s="34">
        <f>+'[1]Capex'!$E$81</f>
        <v>1080000</v>
      </c>
      <c r="Q182" s="34">
        <f t="shared" si="14"/>
        <v>311040000</v>
      </c>
      <c r="R182" s="34">
        <f>+Q182*'[1]Financieros'!$C$149</f>
        <v>62208000</v>
      </c>
    </row>
    <row r="183" spans="2:18" ht="15.75">
      <c r="B183" s="31" t="s">
        <v>198</v>
      </c>
      <c r="C183" s="37"/>
      <c r="D183" s="34"/>
      <c r="E183" s="34"/>
      <c r="F183" s="34"/>
      <c r="G183" s="37">
        <f t="shared" si="11"/>
        <v>0</v>
      </c>
      <c r="H183" s="34">
        <f>+'[1]Capex'!$E$81</f>
        <v>1080000</v>
      </c>
      <c r="I183" s="34">
        <f t="shared" si="12"/>
        <v>0</v>
      </c>
      <c r="J183" s="34">
        <f>+I183*'[1]Financieros'!$C$149</f>
        <v>0</v>
      </c>
      <c r="K183" s="37"/>
      <c r="L183" s="34"/>
      <c r="M183" s="34"/>
      <c r="N183" s="34"/>
      <c r="O183" s="37">
        <f t="shared" si="13"/>
        <v>0</v>
      </c>
      <c r="P183" s="34">
        <f>+'[1]Capex'!$E$81</f>
        <v>1080000</v>
      </c>
      <c r="Q183" s="34">
        <f t="shared" si="14"/>
        <v>0</v>
      </c>
      <c r="R183" s="34">
        <f>+Q183*'[1]Financieros'!$C$149</f>
        <v>0</v>
      </c>
    </row>
    <row r="184" spans="2:18" ht="15.75">
      <c r="B184" s="33" t="s">
        <v>16</v>
      </c>
      <c r="C184" s="33"/>
      <c r="D184" s="33"/>
      <c r="E184" s="32"/>
      <c r="F184" s="32"/>
      <c r="G184" s="33"/>
      <c r="H184" s="33"/>
      <c r="I184" s="32">
        <f>SUM(I168:I182)</f>
        <v>1415880000</v>
      </c>
      <c r="J184" s="32">
        <f>SUM(J168:J182)</f>
        <v>283176000</v>
      </c>
      <c r="K184" s="33"/>
      <c r="L184" s="33"/>
      <c r="M184" s="32"/>
      <c r="N184" s="32"/>
      <c r="O184" s="33"/>
      <c r="P184" s="33"/>
      <c r="Q184" s="32">
        <f>SUM(Q168:Q182)</f>
        <v>2010960000</v>
      </c>
      <c r="R184" s="32">
        <f>SUM(R168:R182)</f>
        <v>402192000</v>
      </c>
    </row>
    <row r="185" ht="15.75">
      <c r="B185" s="74" t="s">
        <v>121</v>
      </c>
    </row>
    <row r="186" spans="2:18" ht="15.75">
      <c r="B186" s="31" t="s">
        <v>34</v>
      </c>
      <c r="C186" s="37"/>
      <c r="D186" s="34"/>
      <c r="E186" s="34"/>
      <c r="F186" s="34"/>
      <c r="G186" s="37">
        <f>+G168</f>
        <v>0</v>
      </c>
      <c r="H186" s="34">
        <f>+'[1]Capex'!$E$45</f>
        <v>600000</v>
      </c>
      <c r="I186" s="34">
        <f aca="true" t="shared" si="15" ref="I186:I201">G186*H186</f>
        <v>0</v>
      </c>
      <c r="J186" s="34">
        <f>+I186*'[1]Financieros'!$C$150</f>
        <v>0</v>
      </c>
      <c r="K186" s="37"/>
      <c r="L186" s="34"/>
      <c r="M186" s="34"/>
      <c r="N186" s="34"/>
      <c r="O186" s="37">
        <f>+O168</f>
        <v>10</v>
      </c>
      <c r="P186" s="34">
        <f>+'[1]Capex'!$E$45</f>
        <v>600000</v>
      </c>
      <c r="Q186" s="34">
        <f aca="true" t="shared" si="16" ref="Q186:Q201">O186*P186</f>
        <v>6000000</v>
      </c>
      <c r="R186" s="34">
        <f>+Q186*'[1]Financieros'!$C$150</f>
        <v>1200000</v>
      </c>
    </row>
    <row r="187" spans="2:18" ht="15.75">
      <c r="B187" s="31" t="s">
        <v>33</v>
      </c>
      <c r="C187" s="37"/>
      <c r="D187" s="34"/>
      <c r="E187" s="34"/>
      <c r="F187" s="34"/>
      <c r="G187" s="37">
        <f aca="true" t="shared" si="17" ref="G187:G201">+G169</f>
        <v>10</v>
      </c>
      <c r="H187" s="34">
        <f>+'[1]Capex'!$E$45</f>
        <v>600000</v>
      </c>
      <c r="I187" s="34">
        <f t="shared" si="15"/>
        <v>6000000</v>
      </c>
      <c r="J187" s="34">
        <f>+I187*'[1]Financieros'!$C$150</f>
        <v>1200000</v>
      </c>
      <c r="K187" s="37"/>
      <c r="L187" s="34"/>
      <c r="M187" s="34"/>
      <c r="N187" s="34"/>
      <c r="O187" s="37">
        <f aca="true" t="shared" si="18" ref="O187:O201">+O169</f>
        <v>38</v>
      </c>
      <c r="P187" s="34">
        <f>+'[1]Capex'!$E$45</f>
        <v>600000</v>
      </c>
      <c r="Q187" s="34">
        <f t="shared" si="16"/>
        <v>22800000</v>
      </c>
      <c r="R187" s="34">
        <f>+Q187*'[1]Financieros'!$C$150</f>
        <v>4560000</v>
      </c>
    </row>
    <row r="188" spans="2:18" ht="15.75">
      <c r="B188" s="31" t="s">
        <v>32</v>
      </c>
      <c r="C188" s="37"/>
      <c r="D188" s="34"/>
      <c r="E188" s="34"/>
      <c r="F188" s="34"/>
      <c r="G188" s="37">
        <f t="shared" si="17"/>
        <v>5</v>
      </c>
      <c r="H188" s="34">
        <f>+'[1]Capex'!$E$45</f>
        <v>600000</v>
      </c>
      <c r="I188" s="34">
        <f t="shared" si="15"/>
        <v>3000000</v>
      </c>
      <c r="J188" s="34">
        <f>+I188*'[1]Financieros'!$C$150</f>
        <v>600000</v>
      </c>
      <c r="K188" s="37"/>
      <c r="L188" s="34"/>
      <c r="M188" s="34"/>
      <c r="N188" s="34"/>
      <c r="O188" s="37">
        <f t="shared" si="18"/>
        <v>27</v>
      </c>
      <c r="P188" s="34">
        <f>+'[1]Capex'!$E$45</f>
        <v>600000</v>
      </c>
      <c r="Q188" s="34">
        <f t="shared" si="16"/>
        <v>16200000</v>
      </c>
      <c r="R188" s="34">
        <f>+Q188*'[1]Financieros'!$C$150</f>
        <v>3240000</v>
      </c>
    </row>
    <row r="189" spans="2:18" ht="15.75">
      <c r="B189" s="31" t="s">
        <v>31</v>
      </c>
      <c r="C189" s="37"/>
      <c r="D189" s="34"/>
      <c r="E189" s="34"/>
      <c r="F189" s="34"/>
      <c r="G189" s="37">
        <f t="shared" si="17"/>
        <v>6</v>
      </c>
      <c r="H189" s="34">
        <f>+'[1]Capex'!$E$45</f>
        <v>600000</v>
      </c>
      <c r="I189" s="34">
        <f t="shared" si="15"/>
        <v>3600000</v>
      </c>
      <c r="J189" s="34">
        <f>+I189*'[1]Financieros'!$C$150</f>
        <v>720000</v>
      </c>
      <c r="K189" s="37"/>
      <c r="L189" s="34"/>
      <c r="M189" s="34"/>
      <c r="N189" s="34"/>
      <c r="O189" s="37">
        <f t="shared" si="18"/>
        <v>84</v>
      </c>
      <c r="P189" s="34">
        <f>+'[1]Capex'!$E$45</f>
        <v>600000</v>
      </c>
      <c r="Q189" s="34">
        <f t="shared" si="16"/>
        <v>50400000</v>
      </c>
      <c r="R189" s="34">
        <f>+Q189*'[1]Financieros'!$C$150</f>
        <v>10080000</v>
      </c>
    </row>
    <row r="190" spans="2:18" ht="15.75">
      <c r="B190" s="31" t="s">
        <v>30</v>
      </c>
      <c r="C190" s="37"/>
      <c r="D190" s="34"/>
      <c r="E190" s="34"/>
      <c r="F190" s="34"/>
      <c r="G190" s="37">
        <f t="shared" si="17"/>
        <v>14</v>
      </c>
      <c r="H190" s="34">
        <f>+'[1]Capex'!$E$45</f>
        <v>600000</v>
      </c>
      <c r="I190" s="34">
        <f t="shared" si="15"/>
        <v>8400000</v>
      </c>
      <c r="J190" s="34">
        <f>+I190*'[1]Financieros'!$C$150</f>
        <v>1680000</v>
      </c>
      <c r="K190" s="37"/>
      <c r="L190" s="34"/>
      <c r="M190" s="34"/>
      <c r="N190" s="34"/>
      <c r="O190" s="37">
        <f t="shared" si="18"/>
        <v>135</v>
      </c>
      <c r="P190" s="34">
        <f>+'[1]Capex'!$E$45</f>
        <v>600000</v>
      </c>
      <c r="Q190" s="34">
        <f t="shared" si="16"/>
        <v>81000000</v>
      </c>
      <c r="R190" s="34">
        <f>+Q190*'[1]Financieros'!$C$150</f>
        <v>16200000</v>
      </c>
    </row>
    <row r="191" spans="2:18" ht="15.75">
      <c r="B191" s="31" t="s">
        <v>29</v>
      </c>
      <c r="C191" s="37"/>
      <c r="D191" s="34"/>
      <c r="E191" s="34"/>
      <c r="F191" s="34"/>
      <c r="G191" s="37">
        <f t="shared" si="17"/>
        <v>85</v>
      </c>
      <c r="H191" s="34">
        <f>+'[1]Capex'!$E$45</f>
        <v>600000</v>
      </c>
      <c r="I191" s="34">
        <f t="shared" si="15"/>
        <v>51000000</v>
      </c>
      <c r="J191" s="34">
        <f>+I191*'[1]Financieros'!$C$150</f>
        <v>10200000</v>
      </c>
      <c r="K191" s="37"/>
      <c r="L191" s="34"/>
      <c r="M191" s="34"/>
      <c r="N191" s="34"/>
      <c r="O191" s="37">
        <f t="shared" si="18"/>
        <v>220</v>
      </c>
      <c r="P191" s="34">
        <f>+'[1]Capex'!$E$45</f>
        <v>600000</v>
      </c>
      <c r="Q191" s="34">
        <f t="shared" si="16"/>
        <v>132000000</v>
      </c>
      <c r="R191" s="34">
        <f>+Q191*'[1]Financieros'!$C$150</f>
        <v>26400000</v>
      </c>
    </row>
    <row r="192" spans="2:18" ht="15.75">
      <c r="B192" s="31" t="s">
        <v>28</v>
      </c>
      <c r="C192" s="37"/>
      <c r="D192" s="34"/>
      <c r="E192" s="34"/>
      <c r="F192" s="34"/>
      <c r="G192" s="37">
        <f t="shared" si="17"/>
        <v>169</v>
      </c>
      <c r="H192" s="34">
        <f>+'[1]Capex'!$E$45</f>
        <v>600000</v>
      </c>
      <c r="I192" s="34">
        <f t="shared" si="15"/>
        <v>101400000</v>
      </c>
      <c r="J192" s="34">
        <f>+I192*'[1]Financieros'!$C$150</f>
        <v>20280000</v>
      </c>
      <c r="K192" s="37"/>
      <c r="L192" s="34"/>
      <c r="M192" s="34"/>
      <c r="N192" s="34"/>
      <c r="O192" s="37">
        <f t="shared" si="18"/>
        <v>245</v>
      </c>
      <c r="P192" s="34">
        <f>+'[1]Capex'!$E$45</f>
        <v>600000</v>
      </c>
      <c r="Q192" s="34">
        <f t="shared" si="16"/>
        <v>147000000</v>
      </c>
      <c r="R192" s="34">
        <f>+Q192*'[1]Financieros'!$C$150</f>
        <v>29400000</v>
      </c>
    </row>
    <row r="193" spans="2:18" ht="15.75">
      <c r="B193" s="31" t="s">
        <v>27</v>
      </c>
      <c r="C193" s="37"/>
      <c r="D193" s="34"/>
      <c r="E193" s="34"/>
      <c r="F193" s="34"/>
      <c r="G193" s="37">
        <f t="shared" si="17"/>
        <v>28</v>
      </c>
      <c r="H193" s="34">
        <f>+'[1]Capex'!$E$45</f>
        <v>600000</v>
      </c>
      <c r="I193" s="34">
        <f t="shared" si="15"/>
        <v>16800000</v>
      </c>
      <c r="J193" s="34">
        <f>+I193*'[1]Financieros'!$C$150</f>
        <v>3360000</v>
      </c>
      <c r="K193" s="37"/>
      <c r="L193" s="34"/>
      <c r="M193" s="34"/>
      <c r="N193" s="34"/>
      <c r="O193" s="37">
        <f t="shared" si="18"/>
        <v>46</v>
      </c>
      <c r="P193" s="34">
        <f>+'[1]Capex'!$E$45</f>
        <v>600000</v>
      </c>
      <c r="Q193" s="34">
        <f t="shared" si="16"/>
        <v>27600000</v>
      </c>
      <c r="R193" s="34">
        <f>+Q193*'[1]Financieros'!$C$150</f>
        <v>5520000</v>
      </c>
    </row>
    <row r="194" spans="2:18" ht="15.75">
      <c r="B194" s="31" t="s">
        <v>26</v>
      </c>
      <c r="C194" s="37"/>
      <c r="D194" s="34"/>
      <c r="E194" s="34"/>
      <c r="F194" s="34"/>
      <c r="G194" s="37">
        <f t="shared" si="17"/>
        <v>19</v>
      </c>
      <c r="H194" s="34">
        <f>+'[1]Capex'!$E$64</f>
        <v>600000</v>
      </c>
      <c r="I194" s="34">
        <f t="shared" si="15"/>
        <v>11400000</v>
      </c>
      <c r="J194" s="34">
        <f>+I194*'[1]Financieros'!$C$150</f>
        <v>2280000</v>
      </c>
      <c r="K194" s="37"/>
      <c r="L194" s="34"/>
      <c r="M194" s="34"/>
      <c r="N194" s="34"/>
      <c r="O194" s="37">
        <f t="shared" si="18"/>
        <v>30</v>
      </c>
      <c r="P194" s="34">
        <f>+'[1]Capex'!$E$64</f>
        <v>600000</v>
      </c>
      <c r="Q194" s="34">
        <f t="shared" si="16"/>
        <v>18000000</v>
      </c>
      <c r="R194" s="34">
        <f>+Q194*'[1]Financieros'!$C$150</f>
        <v>3600000</v>
      </c>
    </row>
    <row r="195" spans="2:18" ht="15.75">
      <c r="B195" s="31" t="s">
        <v>25</v>
      </c>
      <c r="C195" s="37"/>
      <c r="D195" s="34"/>
      <c r="E195" s="34"/>
      <c r="F195" s="34"/>
      <c r="G195" s="37">
        <f t="shared" si="17"/>
        <v>34</v>
      </c>
      <c r="H195" s="34">
        <f>+'[1]Capex'!$E$64</f>
        <v>600000</v>
      </c>
      <c r="I195" s="34">
        <f t="shared" si="15"/>
        <v>20400000</v>
      </c>
      <c r="J195" s="34">
        <f>+I195*'[1]Financieros'!$C$150</f>
        <v>4080000</v>
      </c>
      <c r="K195" s="37"/>
      <c r="L195" s="34"/>
      <c r="M195" s="34"/>
      <c r="N195" s="34"/>
      <c r="O195" s="37">
        <f t="shared" si="18"/>
        <v>52</v>
      </c>
      <c r="P195" s="34">
        <f>+'[1]Capex'!$E$64</f>
        <v>600000</v>
      </c>
      <c r="Q195" s="34">
        <f t="shared" si="16"/>
        <v>31200000</v>
      </c>
      <c r="R195" s="34">
        <f>+Q195*'[1]Financieros'!$C$150</f>
        <v>6240000</v>
      </c>
    </row>
    <row r="196" spans="2:18" ht="15.75">
      <c r="B196" s="31" t="s">
        <v>24</v>
      </c>
      <c r="C196" s="37"/>
      <c r="D196" s="34"/>
      <c r="E196" s="34"/>
      <c r="F196" s="34"/>
      <c r="G196" s="37">
        <f t="shared" si="17"/>
        <v>26</v>
      </c>
      <c r="H196" s="34">
        <f>+'[1]Capex'!$E$64</f>
        <v>600000</v>
      </c>
      <c r="I196" s="34">
        <f t="shared" si="15"/>
        <v>15600000</v>
      </c>
      <c r="J196" s="34">
        <f>+I196*'[1]Financieros'!$C$150</f>
        <v>3120000</v>
      </c>
      <c r="K196" s="37"/>
      <c r="L196" s="34"/>
      <c r="M196" s="34"/>
      <c r="N196" s="34"/>
      <c r="O196" s="37">
        <f t="shared" si="18"/>
        <v>39</v>
      </c>
      <c r="P196" s="34">
        <f>+'[1]Capex'!$E$64</f>
        <v>600000</v>
      </c>
      <c r="Q196" s="34">
        <f t="shared" si="16"/>
        <v>23400000</v>
      </c>
      <c r="R196" s="34">
        <f>+Q196*'[1]Financieros'!$C$150</f>
        <v>4680000</v>
      </c>
    </row>
    <row r="197" spans="2:18" ht="15.75">
      <c r="B197" s="31" t="s">
        <v>23</v>
      </c>
      <c r="C197" s="37"/>
      <c r="D197" s="34"/>
      <c r="E197" s="34"/>
      <c r="F197" s="34"/>
      <c r="G197" s="37">
        <f t="shared" si="17"/>
        <v>70</v>
      </c>
      <c r="H197" s="34">
        <f>+'[1]Capex'!$E$64</f>
        <v>600000</v>
      </c>
      <c r="I197" s="34">
        <f t="shared" si="15"/>
        <v>42000000</v>
      </c>
      <c r="J197" s="34">
        <f>+I197*'[1]Financieros'!$C$150</f>
        <v>8400000</v>
      </c>
      <c r="K197" s="37"/>
      <c r="L197" s="34"/>
      <c r="M197" s="34"/>
      <c r="N197" s="34"/>
      <c r="O197" s="37">
        <f t="shared" si="18"/>
        <v>86</v>
      </c>
      <c r="P197" s="34">
        <f>+'[1]Capex'!$E$64</f>
        <v>600000</v>
      </c>
      <c r="Q197" s="34">
        <f t="shared" si="16"/>
        <v>51600000</v>
      </c>
      <c r="R197" s="34">
        <f>+Q197*'[1]Financieros'!$C$150</f>
        <v>10320000</v>
      </c>
    </row>
    <row r="198" spans="2:18" ht="15.75">
      <c r="B198" s="31" t="s">
        <v>22</v>
      </c>
      <c r="C198" s="37"/>
      <c r="D198" s="34"/>
      <c r="E198" s="34"/>
      <c r="F198" s="34"/>
      <c r="G198" s="37">
        <f t="shared" si="17"/>
        <v>184</v>
      </c>
      <c r="H198" s="34">
        <f>+'[1]Capex'!$E$64</f>
        <v>600000</v>
      </c>
      <c r="I198" s="34">
        <f t="shared" si="15"/>
        <v>110400000</v>
      </c>
      <c r="J198" s="34">
        <f>+I198*'[1]Financieros'!$C$150</f>
        <v>22080000</v>
      </c>
      <c r="K198" s="37"/>
      <c r="L198" s="34"/>
      <c r="M198" s="34"/>
      <c r="N198" s="34"/>
      <c r="O198" s="37">
        <f t="shared" si="18"/>
        <v>249</v>
      </c>
      <c r="P198" s="34">
        <f>+'[1]Capex'!$E$64</f>
        <v>600000</v>
      </c>
      <c r="Q198" s="34">
        <f t="shared" si="16"/>
        <v>149400000</v>
      </c>
      <c r="R198" s="34">
        <f>+Q198*'[1]Financieros'!$C$150</f>
        <v>29880000</v>
      </c>
    </row>
    <row r="199" spans="2:18" ht="15.75">
      <c r="B199" s="31" t="s">
        <v>21</v>
      </c>
      <c r="C199" s="37"/>
      <c r="D199" s="34"/>
      <c r="E199" s="34"/>
      <c r="F199" s="34"/>
      <c r="G199" s="37">
        <f t="shared" si="17"/>
        <v>324</v>
      </c>
      <c r="H199" s="34">
        <f>+'[1]Capex'!$E$83</f>
        <v>600000</v>
      </c>
      <c r="I199" s="34">
        <f t="shared" si="15"/>
        <v>194400000</v>
      </c>
      <c r="J199" s="34">
        <f>+I199*'[1]Financieros'!$C$150</f>
        <v>38880000</v>
      </c>
      <c r="K199" s="37"/>
      <c r="L199" s="34"/>
      <c r="M199" s="34"/>
      <c r="N199" s="34"/>
      <c r="O199" s="37">
        <f t="shared" si="18"/>
        <v>313</v>
      </c>
      <c r="P199" s="34">
        <f>+'[1]Capex'!$E$83</f>
        <v>600000</v>
      </c>
      <c r="Q199" s="34">
        <f t="shared" si="16"/>
        <v>187800000</v>
      </c>
      <c r="R199" s="34">
        <f>+Q199*'[1]Financieros'!$C$150</f>
        <v>37560000</v>
      </c>
    </row>
    <row r="200" spans="2:18" ht="15.75">
      <c r="B200" s="31" t="s">
        <v>20</v>
      </c>
      <c r="C200" s="37"/>
      <c r="D200" s="34"/>
      <c r="E200" s="34"/>
      <c r="F200" s="34"/>
      <c r="G200" s="37">
        <f t="shared" si="17"/>
        <v>337</v>
      </c>
      <c r="H200" s="34">
        <f>+'[1]Capex'!$E$83</f>
        <v>600000</v>
      </c>
      <c r="I200" s="34">
        <f t="shared" si="15"/>
        <v>202200000</v>
      </c>
      <c r="J200" s="34">
        <f>+I200*'[1]Financieros'!$C$150</f>
        <v>40440000</v>
      </c>
      <c r="K200" s="37"/>
      <c r="L200" s="34"/>
      <c r="M200" s="34"/>
      <c r="N200" s="34"/>
      <c r="O200" s="37">
        <f t="shared" si="18"/>
        <v>288</v>
      </c>
      <c r="P200" s="34">
        <f>+'[1]Capex'!$E$83</f>
        <v>600000</v>
      </c>
      <c r="Q200" s="34">
        <f t="shared" si="16"/>
        <v>172800000</v>
      </c>
      <c r="R200" s="34">
        <f>+Q200*'[1]Financieros'!$C$150</f>
        <v>34560000</v>
      </c>
    </row>
    <row r="201" spans="2:18" ht="15.75">
      <c r="B201" s="31" t="s">
        <v>198</v>
      </c>
      <c r="C201" s="37"/>
      <c r="D201" s="34"/>
      <c r="E201" s="34"/>
      <c r="F201" s="34"/>
      <c r="G201" s="37">
        <f t="shared" si="17"/>
        <v>0</v>
      </c>
      <c r="H201" s="34">
        <f>+'[1]Capex'!$E$83</f>
        <v>600000</v>
      </c>
      <c r="I201" s="34">
        <f t="shared" si="15"/>
        <v>0</v>
      </c>
      <c r="J201" s="34">
        <f>+I201*'[1]Financieros'!$C$150</f>
        <v>0</v>
      </c>
      <c r="K201" s="37"/>
      <c r="L201" s="34"/>
      <c r="M201" s="34"/>
      <c r="N201" s="34"/>
      <c r="O201" s="37">
        <f t="shared" si="18"/>
        <v>0</v>
      </c>
      <c r="P201" s="34">
        <f>+'[1]Capex'!$E$83</f>
        <v>600000</v>
      </c>
      <c r="Q201" s="34">
        <f t="shared" si="16"/>
        <v>0</v>
      </c>
      <c r="R201" s="34">
        <f>+Q201*'[1]Financieros'!$C$150</f>
        <v>0</v>
      </c>
    </row>
    <row r="202" spans="2:18" ht="15.75">
      <c r="B202" s="33" t="s">
        <v>123</v>
      </c>
      <c r="C202" s="33"/>
      <c r="D202" s="33"/>
      <c r="E202" s="32"/>
      <c r="F202" s="32"/>
      <c r="G202" s="33"/>
      <c r="H202" s="33"/>
      <c r="I202" s="32">
        <f>SUM(I186:I201)</f>
        <v>786600000</v>
      </c>
      <c r="J202" s="32">
        <f>SUM(J186:J201)</f>
        <v>157320000</v>
      </c>
      <c r="K202" s="33"/>
      <c r="L202" s="33"/>
      <c r="M202" s="32"/>
      <c r="N202" s="32"/>
      <c r="O202" s="33"/>
      <c r="P202" s="33"/>
      <c r="Q202" s="32">
        <f>SUM(Q186:Q201)</f>
        <v>1117200000</v>
      </c>
      <c r="R202" s="32">
        <f>SUM(R186:R201)</f>
        <v>223440000</v>
      </c>
    </row>
    <row r="203" spans="2:18" ht="15.75">
      <c r="B203" s="71" t="s">
        <v>105</v>
      </c>
      <c r="F203" s="39">
        <f>F144+F166+F184+F202</f>
        <v>0</v>
      </c>
      <c r="J203" s="39">
        <f>J144+J166+J184+J202</f>
        <v>1609754820.6100001</v>
      </c>
      <c r="N203" s="39">
        <f>N144+N166+N184+N202</f>
        <v>0</v>
      </c>
      <c r="R203" s="39">
        <f>R144+R166+R184+R202</f>
        <v>2214554620.6099997</v>
      </c>
    </row>
    <row r="204" ht="4.5" customHeight="1"/>
    <row r="205" spans="2:13" ht="15.75">
      <c r="B205" s="94" t="s">
        <v>147</v>
      </c>
      <c r="C205" s="12">
        <f>+'[1]Financieros'!C11</f>
        <v>2009</v>
      </c>
      <c r="D205" s="12">
        <f>+'[1]Financieros'!D7</f>
        <v>2010</v>
      </c>
      <c r="E205" s="12">
        <f>+'[1]Financieros'!E7</f>
        <v>2011</v>
      </c>
      <c r="F205" s="12">
        <f>+'[1]Financieros'!F7</f>
        <v>2012</v>
      </c>
      <c r="G205" s="12">
        <f>+'[1]Financieros'!G7</f>
        <v>2013</v>
      </c>
      <c r="H205" s="12">
        <f>+'[1]Financieros'!H7</f>
        <v>2014</v>
      </c>
      <c r="I205" s="12">
        <f>+'[1]Financieros'!I7</f>
        <v>2015</v>
      </c>
      <c r="J205" s="12">
        <f>+'[1]Financieros'!J7</f>
        <v>2016</v>
      </c>
      <c r="K205" s="12">
        <f>+'[1]Financieros'!K7</f>
        <v>2017</v>
      </c>
      <c r="L205" s="12">
        <f>+'[1]Financieros'!L7</f>
        <v>2018</v>
      </c>
      <c r="M205" s="12">
        <f>+'[1]Financieros'!M7</f>
        <v>2019</v>
      </c>
    </row>
    <row r="206" spans="2:13" ht="15.75">
      <c r="B206" s="66" t="s">
        <v>227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</row>
    <row r="207" spans="2:13" ht="15.75">
      <c r="B207" s="67" t="s">
        <v>148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</row>
    <row r="208" spans="2:13" ht="15.75">
      <c r="B208" s="68" t="s">
        <v>15</v>
      </c>
      <c r="C208" s="21">
        <f>IF('[1]Tablero de Control'!$B$22='[1]Tablero de Control'!$S$30,'[1]Operadores'!$W$9,IF('[1]Tablero de Control'!$B$22='[1]Tablero de Control'!$S$31,Admisión!$C$16,0))+IF('[1]Tablero de Control'!$B$62='[1]Tablero de Control'!$S$94,0,Entrega!C18*'[1]Tablero de Control'!$B$62)</f>
        <v>549</v>
      </c>
      <c r="D208" s="21">
        <f>IF('[1]Tablero de Control'!$B$22='[1]Tablero de Control'!$S$30,'[1]Operadores'!$W$9,IF('[1]Tablero de Control'!$B$22='[1]Tablero de Control'!$S$31,Admisión!$C$16,0))+IF('[1]Tablero de Control'!$B$62='[1]Tablero de Control'!$S$94,0,Entrega!D18*'[1]Tablero de Control'!$B$62)</f>
        <v>549</v>
      </c>
      <c r="E208" s="21">
        <f>D208*Demanda!E17/Demanda!D17</f>
        <v>581.9137288996417</v>
      </c>
      <c r="F208" s="21">
        <f>E208*Demanda!F17/Demanda!E17</f>
        <v>616.8012291331958</v>
      </c>
      <c r="G208" s="21">
        <f>F208*Demanda!G17/Demanda!F17</f>
        <v>653.7808848147195</v>
      </c>
      <c r="H208" s="21">
        <f>G208*Demanda!H17/Demanda!G17</f>
        <v>692.9781814153281</v>
      </c>
      <c r="I208" s="21">
        <f>H208*Demanda!I17/Demanda!H17</f>
        <v>734.5261314472627</v>
      </c>
      <c r="J208" s="21">
        <f>I208*Demanda!J17/Demanda!I17</f>
        <v>778.5657269850707</v>
      </c>
      <c r="K208" s="21">
        <f>J208*Demanda!K17/Demanda!J17</f>
        <v>825.2464174154371</v>
      </c>
      <c r="L208" s="21">
        <f>K208*Demanda!L17/Demanda!K17</f>
        <v>874.726617110728</v>
      </c>
      <c r="M208" s="21">
        <f>L208*Demanda!M17/Demanda!L17</f>
        <v>927.1742432488585</v>
      </c>
    </row>
    <row r="209" spans="2:13" ht="15.75">
      <c r="B209" s="68" t="s">
        <v>14</v>
      </c>
      <c r="C209" s="21">
        <f>IF('[1]Tablero de Control'!$B$22='[1]Tablero de Control'!$S$30,C208*'[1]Operadores'!$X$9,IF('[1]Tablero de Control'!$B$22='[1]Tablero de Control'!$S$31,C208*Admisión!$D$14,0))*12/1000000</f>
        <v>6097.79664</v>
      </c>
      <c r="D209" s="21">
        <f>IF('[1]Tablero de Control'!$B$22='[1]Tablero de Control'!$S$30,D208*'[1]Operadores'!$X$9,IF('[1]Tablero de Control'!$B$22='[1]Tablero de Control'!$S$31,D208*Admisión!$D$14,0))*12/1000000</f>
        <v>6097.79664</v>
      </c>
      <c r="E209" s="21">
        <f>IF('[1]Tablero de Control'!$B$22='[1]Tablero de Control'!$S$30,E208*'[1]Operadores'!$X$9,IF('[1]Tablero de Control'!$B$22='[1]Tablero de Control'!$S$31,E208*Admisión!$D$14,0))*12/1000000</f>
        <v>6463.372642721504</v>
      </c>
      <c r="F209" s="21">
        <f>IF('[1]Tablero de Control'!$B$22='[1]Tablero de Control'!$S$30,F208*'[1]Operadores'!$X$9,IF('[1]Tablero de Control'!$B$22='[1]Tablero de Control'!$S$31,F208*Admisión!$D$14,0))*12/1000000</f>
        <v>6850.871516495941</v>
      </c>
      <c r="G209" s="21">
        <f>IF('[1]Tablero de Control'!$B$22='[1]Tablero de Control'!$S$30,G208*'[1]Operadores'!$X$9,IF('[1]Tablero de Control'!$B$22='[1]Tablero de Control'!$S$31,G208*Admisión!$D$14,0))*12/1000000</f>
        <v>7261.60816524485</v>
      </c>
      <c r="H209" s="21">
        <f>IF('[1]Tablero de Control'!$B$22='[1]Tablero de Control'!$S$30,H208*'[1]Operadores'!$X$9,IF('[1]Tablero de Control'!$B$22='[1]Tablero de Control'!$S$31,H208*Admisión!$D$14,0))*12/1000000</f>
        <v>7696.976368356462</v>
      </c>
      <c r="I209" s="21">
        <f>IF('[1]Tablero de Control'!$B$22='[1]Tablero de Control'!$S$30,I208*'[1]Operadores'!$X$9,IF('[1]Tablero de Control'!$B$22='[1]Tablero de Control'!$S$31,I208*Admisión!$D$14,0))*12/1000000</f>
        <v>8158.453508800213</v>
      </c>
      <c r="J209" s="21">
        <f>IF('[1]Tablero de Control'!$B$22='[1]Tablero de Control'!$S$30,J208*'[1]Operadores'!$X$9,IF('[1]Tablero de Control'!$B$22='[1]Tablero de Control'!$S$31,J208*Admisión!$D$14,0))*12/1000000</f>
        <v>8647.605599323719</v>
      </c>
      <c r="K209" s="21">
        <f>IF('[1]Tablero de Control'!$B$22='[1]Tablero de Control'!$S$30,K208*'[1]Operadores'!$X$9,IF('[1]Tablero de Control'!$B$22='[1]Tablero de Control'!$S$31,K208*Admisión!$D$14,0))*12/1000000</f>
        <v>9166.092588866828</v>
      </c>
      <c r="L209" s="21">
        <f>IF('[1]Tablero de Control'!$B$22='[1]Tablero de Control'!$S$30,L208*'[1]Operadores'!$X$9,IF('[1]Tablero de Control'!$B$22='[1]Tablero de Control'!$S$31,L208*Admisión!$D$14,0))*12/1000000</f>
        <v>9715.67400134128</v>
      </c>
      <c r="M209" s="21">
        <f>IF('[1]Tablero de Control'!$B$22='[1]Tablero de Control'!$S$30,M208*'[1]Operadores'!$X$9,IF('[1]Tablero de Control'!$B$22='[1]Tablero de Control'!$S$31,M208*Admisión!$D$14,0))*12/1000000</f>
        <v>10298.21490924851</v>
      </c>
    </row>
    <row r="210" spans="2:13" ht="15.75">
      <c r="B210" s="67" t="s">
        <v>149</v>
      </c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</row>
    <row r="211" spans="2:13" ht="15.75">
      <c r="B211" s="68" t="s">
        <v>139</v>
      </c>
      <c r="C211" s="21">
        <f>Admisión!$G$47*12/1000000</f>
        <v>1254.9</v>
      </c>
      <c r="D211" s="21">
        <f>Admisión!$G$47*12/1000000</f>
        <v>1254.9</v>
      </c>
      <c r="E211" s="21">
        <f>Admisión!$G$47*12/1000000</f>
        <v>1254.9</v>
      </c>
      <c r="F211" s="21">
        <f>Admisión!$G$47*12/1000000</f>
        <v>1254.9</v>
      </c>
      <c r="G211" s="21">
        <f>Admisión!$G$47*12/1000000</f>
        <v>1254.9</v>
      </c>
      <c r="H211" s="21">
        <f>Admisión!$G$47*12/1000000</f>
        <v>1254.9</v>
      </c>
      <c r="I211" s="21">
        <f>Admisión!$G$47*12/1000000</f>
        <v>1254.9</v>
      </c>
      <c r="J211" s="21">
        <f>Admisión!$G$47*12/1000000</f>
        <v>1254.9</v>
      </c>
      <c r="K211" s="21">
        <f>Admisión!$G$47*12/1000000</f>
        <v>1254.9</v>
      </c>
      <c r="L211" s="21">
        <f>Admisión!$G$47*12/1000000</f>
        <v>1254.9</v>
      </c>
      <c r="M211" s="21">
        <f>Admisión!$G$47*12/1000000</f>
        <v>1254.9</v>
      </c>
    </row>
    <row r="212" spans="2:13" ht="15.75">
      <c r="B212" s="85" t="s">
        <v>110</v>
      </c>
      <c r="C212" s="21">
        <f>Admisión!$G$49*12/1000000</f>
        <v>90</v>
      </c>
      <c r="D212" s="21">
        <f>Admisión!$G$49*12/1000000</f>
        <v>90</v>
      </c>
      <c r="E212" s="21">
        <f>Admisión!$G$49*12/1000000</f>
        <v>90</v>
      </c>
      <c r="F212" s="21">
        <f>Admisión!$G$49*12/1000000</f>
        <v>90</v>
      </c>
      <c r="G212" s="21">
        <f>Admisión!$G$49*12/1000000</f>
        <v>90</v>
      </c>
      <c r="H212" s="21">
        <f>Admisión!$G$49*12/1000000</f>
        <v>90</v>
      </c>
      <c r="I212" s="21">
        <f>Admisión!$G$49*12/1000000</f>
        <v>90</v>
      </c>
      <c r="J212" s="21">
        <f>Admisión!$G$49*12/1000000</f>
        <v>90</v>
      </c>
      <c r="K212" s="21">
        <f>Admisión!$G$49*12/1000000</f>
        <v>90</v>
      </c>
      <c r="L212" s="21">
        <f>Admisión!$G$49*12/1000000</f>
        <v>90</v>
      </c>
      <c r="M212" s="21">
        <f>Admisión!$G$49*12/1000000</f>
        <v>90</v>
      </c>
    </row>
    <row r="213" spans="2:13" ht="15.75">
      <c r="B213" s="86" t="s">
        <v>53</v>
      </c>
      <c r="C213" s="21">
        <f>Admisión!$G$50*12/1000000</f>
        <v>180</v>
      </c>
      <c r="D213" s="21">
        <f>Admisión!$G$50*12/1000000</f>
        <v>180</v>
      </c>
      <c r="E213" s="21">
        <f>Admisión!$G$50*12/1000000</f>
        <v>180</v>
      </c>
      <c r="F213" s="21">
        <f>Admisión!$G$50*12/1000000</f>
        <v>180</v>
      </c>
      <c r="G213" s="21">
        <f>Admisión!$G$50*12/1000000</f>
        <v>180</v>
      </c>
      <c r="H213" s="21">
        <f>Admisión!$G$50*12/1000000</f>
        <v>180</v>
      </c>
      <c r="I213" s="21">
        <f>Admisión!$G$50*12/1000000</f>
        <v>180</v>
      </c>
      <c r="J213" s="21">
        <f>Admisión!$G$50*12/1000000</f>
        <v>180</v>
      </c>
      <c r="K213" s="21">
        <f>Admisión!$G$50*12/1000000</f>
        <v>180</v>
      </c>
      <c r="L213" s="21">
        <f>Admisión!$G$50*12/1000000</f>
        <v>180</v>
      </c>
      <c r="M213" s="21">
        <f>Admisión!$G$50*12/1000000</f>
        <v>180</v>
      </c>
    </row>
    <row r="214" spans="2:13" ht="15.75">
      <c r="B214" s="86" t="s">
        <v>52</v>
      </c>
      <c r="C214" s="21">
        <f>Admisión!$G$51*12/1000000</f>
        <v>270</v>
      </c>
      <c r="D214" s="21">
        <f>Admisión!$G$51*12/1000000</f>
        <v>270</v>
      </c>
      <c r="E214" s="21">
        <f>Admisión!$G$51*12/1000000</f>
        <v>270</v>
      </c>
      <c r="F214" s="21">
        <f>Admisión!$G$51*12/1000000</f>
        <v>270</v>
      </c>
      <c r="G214" s="21">
        <f>Admisión!$G$51*12/1000000</f>
        <v>270</v>
      </c>
      <c r="H214" s="21">
        <f>Admisión!$G$51*12/1000000</f>
        <v>270</v>
      </c>
      <c r="I214" s="21">
        <f>Admisión!$G$51*12/1000000</f>
        <v>270</v>
      </c>
      <c r="J214" s="21">
        <f>Admisión!$G$51*12/1000000</f>
        <v>270</v>
      </c>
      <c r="K214" s="21">
        <f>Admisión!$G$51*12/1000000</f>
        <v>270</v>
      </c>
      <c r="L214" s="21">
        <f>Admisión!$G$51*12/1000000</f>
        <v>270</v>
      </c>
      <c r="M214" s="21">
        <f>Admisión!$G$51*12/1000000</f>
        <v>270</v>
      </c>
    </row>
    <row r="215" spans="2:13" ht="15.75">
      <c r="B215" s="86" t="s">
        <v>51</v>
      </c>
      <c r="C215" s="21">
        <f>Admisión!$G$52*12/1000000</f>
        <v>360</v>
      </c>
      <c r="D215" s="21">
        <f>Admisión!$G$52*12/1000000</f>
        <v>360</v>
      </c>
      <c r="E215" s="21">
        <f>Admisión!$G$52*12/1000000</f>
        <v>360</v>
      </c>
      <c r="F215" s="21">
        <f>Admisión!$G$52*12/1000000</f>
        <v>360</v>
      </c>
      <c r="G215" s="21">
        <f>Admisión!$G$52*12/1000000</f>
        <v>360</v>
      </c>
      <c r="H215" s="21">
        <f>Admisión!$G$52*12/1000000</f>
        <v>360</v>
      </c>
      <c r="I215" s="21">
        <f>Admisión!$G$52*12/1000000</f>
        <v>360</v>
      </c>
      <c r="J215" s="21">
        <f>Admisión!$G$52*12/1000000</f>
        <v>360</v>
      </c>
      <c r="K215" s="21">
        <f>Admisión!$G$52*12/1000000</f>
        <v>360</v>
      </c>
      <c r="L215" s="21">
        <f>Admisión!$G$52*12/1000000</f>
        <v>360</v>
      </c>
      <c r="M215" s="21">
        <f>Admisión!$G$52*12/1000000</f>
        <v>360</v>
      </c>
    </row>
    <row r="216" spans="2:13" ht="15.75">
      <c r="B216" s="86" t="s">
        <v>50</v>
      </c>
      <c r="C216" s="21">
        <f>Admisión!$G$53*12/1000000</f>
        <v>450</v>
      </c>
      <c r="D216" s="21">
        <f>Admisión!$G$53*12/1000000</f>
        <v>450</v>
      </c>
      <c r="E216" s="21">
        <f>Admisión!$G$53*12/1000000</f>
        <v>450</v>
      </c>
      <c r="F216" s="21">
        <f>Admisión!$G$53*12/1000000</f>
        <v>450</v>
      </c>
      <c r="G216" s="21">
        <f>Admisión!$G$53*12/1000000</f>
        <v>450</v>
      </c>
      <c r="H216" s="21">
        <f>Admisión!$G$53*12/1000000</f>
        <v>450</v>
      </c>
      <c r="I216" s="21">
        <f>Admisión!$G$53*12/1000000</f>
        <v>450</v>
      </c>
      <c r="J216" s="21">
        <f>Admisión!$G$53*12/1000000</f>
        <v>450</v>
      </c>
      <c r="K216" s="21">
        <f>Admisión!$G$53*12/1000000</f>
        <v>450</v>
      </c>
      <c r="L216" s="21">
        <f>Admisión!$G$53*12/1000000</f>
        <v>450</v>
      </c>
      <c r="M216" s="21">
        <f>Admisión!$G$53*12/1000000</f>
        <v>450</v>
      </c>
    </row>
    <row r="217" spans="2:13" ht="15.75">
      <c r="B217" s="87" t="s">
        <v>130</v>
      </c>
      <c r="C217" s="88">
        <f aca="true" t="shared" si="19" ref="C217:M217">SUM(C211:C216)</f>
        <v>2604.9</v>
      </c>
      <c r="D217" s="88">
        <f t="shared" si="19"/>
        <v>2604.9</v>
      </c>
      <c r="E217" s="88">
        <f t="shared" si="19"/>
        <v>2604.9</v>
      </c>
      <c r="F217" s="88">
        <f t="shared" si="19"/>
        <v>2604.9</v>
      </c>
      <c r="G217" s="88">
        <f t="shared" si="19"/>
        <v>2604.9</v>
      </c>
      <c r="H217" s="88">
        <f t="shared" si="19"/>
        <v>2604.9</v>
      </c>
      <c r="I217" s="88">
        <f t="shared" si="19"/>
        <v>2604.9</v>
      </c>
      <c r="J217" s="88">
        <f t="shared" si="19"/>
        <v>2604.9</v>
      </c>
      <c r="K217" s="88">
        <f t="shared" si="19"/>
        <v>2604.9</v>
      </c>
      <c r="L217" s="88">
        <f t="shared" si="19"/>
        <v>2604.9</v>
      </c>
      <c r="M217" s="88">
        <f t="shared" si="19"/>
        <v>2604.9</v>
      </c>
    </row>
    <row r="218" spans="2:13" ht="15.75">
      <c r="B218" s="66" t="s">
        <v>228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</row>
    <row r="219" spans="2:13" ht="15.75">
      <c r="B219" s="67" t="s">
        <v>150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</row>
    <row r="220" spans="2:13" ht="15.75">
      <c r="B220" s="68" t="s">
        <v>15</v>
      </c>
      <c r="C220" s="21">
        <f>IF('[1]Tablero de Control'!$B$22='[1]Tablero de Control'!$S$30,Admisión!$D$99,IF('[1]Tablero de Control'!$B$22='[1]Tablero de Control'!$S$31,Admisión!$G$99,0))+IF('[1]Tablero de Control'!$B$62='[1]Tablero de Control'!$S$94,0,Entrega!C18*'[1]Tablero de Control'!$B$62)</f>
        <v>1353</v>
      </c>
      <c r="D220" s="21">
        <f>IF('[1]Tablero de Control'!$B$22='[1]Tablero de Control'!$S$30,Admisión!$D$99,IF('[1]Tablero de Control'!$B$22='[1]Tablero de Control'!$S$31,Admisión!$G$99,0))+IF('[1]Tablero de Control'!$B$62='[1]Tablero de Control'!$S$94,0,Entrega!D18*'[1]Tablero de Control'!$B$62)</f>
        <v>1353</v>
      </c>
      <c r="E220" s="21">
        <f>D220*Demanda!E17/Demanda!D17</f>
        <v>1434.1152553756197</v>
      </c>
      <c r="F220" s="21">
        <f>E220*Demanda!F17/Demanda!E17</f>
        <v>1520.0948324539418</v>
      </c>
      <c r="G220" s="21">
        <f>F220*Demanda!G17/Demanda!F17</f>
        <v>1611.2304866198826</v>
      </c>
      <c r="H220" s="21">
        <f>G220*Demanda!H17/Demanda!G17</f>
        <v>1707.8314744170111</v>
      </c>
      <c r="I220" s="21">
        <f>H220*Demanda!I17/Demanda!H17</f>
        <v>1810.2256026377897</v>
      </c>
      <c r="J220" s="21">
        <f>I220*Demanda!J17/Demanda!I17</f>
        <v>1918.7603435533713</v>
      </c>
      <c r="K220" s="21">
        <f>J220*Demanda!K17/Demanda!J17</f>
        <v>2033.8040123189194</v>
      </c>
      <c r="L220" s="21">
        <f>K220*Demanda!L17/Demanda!K17</f>
        <v>2155.7470181253466</v>
      </c>
      <c r="M220" s="21">
        <f>L220*Demanda!M17/Demanda!L17</f>
        <v>2285.003189646094</v>
      </c>
    </row>
    <row r="221" spans="2:13" ht="15.75">
      <c r="B221" s="68" t="s">
        <v>14</v>
      </c>
      <c r="C221" s="21">
        <f>IF('[1]Tablero de Control'!$B$22='[1]Tablero de Control'!$S$30,Admisión!$F$99,IF('[1]Tablero de Control'!$B$22='[1]Tablero de Control'!$S$31,Admisión!$I$99,0))*12/1000000+IF('[1]Tablero de Control'!$B$62='[1]Tablero de Control'!$S$94,0,Entrega!C19*'[1]Tablero de Control'!$B$62)</f>
        <v>14503.44528</v>
      </c>
      <c r="D221" s="21">
        <f>IF('[1]Tablero de Control'!$B$22='[1]Tablero de Control'!$S$30,Admisión!$F$99,IF('[1]Tablero de Control'!$B$22='[1]Tablero de Control'!$S$31,Admisión!$I$99,0))*12/1000000+IF('[1]Tablero de Control'!$B$62='[1]Tablero de Control'!$S$94,0,Entrega!D19*'[1]Tablero de Control'!$B$62)</f>
        <v>14503.44528</v>
      </c>
      <c r="E221" s="21">
        <f>+D221/D220*E220</f>
        <v>15372.957968627881</v>
      </c>
      <c r="F221" s="21">
        <f>+E221/E220*F220</f>
        <v>16294.613616338886</v>
      </c>
      <c r="G221" s="21">
        <f aca="true" t="shared" si="20" ref="G221:M221">+F221/F220*G220</f>
        <v>17271.539686740012</v>
      </c>
      <c r="H221" s="21">
        <f t="shared" si="20"/>
        <v>18307.051246614068</v>
      </c>
      <c r="I221" s="21">
        <f t="shared" si="20"/>
        <v>19404.66221161286</v>
      </c>
      <c r="J221" s="21">
        <f t="shared" si="20"/>
        <v>20568.097300931495</v>
      </c>
      <c r="K221" s="21">
        <f t="shared" si="20"/>
        <v>21801.304658471458</v>
      </c>
      <c r="L221" s="21">
        <f t="shared" si="20"/>
        <v>23108.469264526328</v>
      </c>
      <c r="M221" s="21">
        <f t="shared" si="20"/>
        <v>24494.027143871084</v>
      </c>
    </row>
    <row r="222" spans="2:13" ht="15.75">
      <c r="B222" s="67" t="s">
        <v>151</v>
      </c>
      <c r="C222" s="88">
        <f>Admisión!$D$120*12/1000000</f>
        <v>10053.9</v>
      </c>
      <c r="D222" s="88">
        <f>Admisión!$D$120*12/1000000</f>
        <v>10053.9</v>
      </c>
      <c r="E222" s="88">
        <f>Admisión!$D$120*12/1000000</f>
        <v>10053.9</v>
      </c>
      <c r="F222" s="88">
        <f>Admisión!$D$120*12/1000000</f>
        <v>10053.9</v>
      </c>
      <c r="G222" s="88">
        <f>Admisión!$D$120*12/1000000</f>
        <v>10053.9</v>
      </c>
      <c r="H222" s="88">
        <f>Admisión!$D$120*12/1000000</f>
        <v>10053.9</v>
      </c>
      <c r="I222" s="88">
        <f>Admisión!$D$120*12/1000000</f>
        <v>10053.9</v>
      </c>
      <c r="J222" s="88">
        <f>Admisión!$D$120*12/1000000</f>
        <v>10053.9</v>
      </c>
      <c r="K222" s="88">
        <f>Admisión!$D$120*12/1000000</f>
        <v>10053.9</v>
      </c>
      <c r="L222" s="88">
        <f>Admisión!$D$120*12/1000000</f>
        <v>10053.9</v>
      </c>
      <c r="M222" s="88">
        <f>Admisión!$D$120*12/1000000</f>
        <v>10053.9</v>
      </c>
    </row>
    <row r="223" spans="2:13" ht="15.75">
      <c r="B223" s="66" t="s">
        <v>229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</row>
    <row r="224" spans="2:13" ht="15.75">
      <c r="B224" s="67" t="s">
        <v>152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</row>
    <row r="225" spans="2:13" ht="15.75">
      <c r="B225" s="68" t="s">
        <v>15</v>
      </c>
      <c r="C225" s="21">
        <f>IF('[1]Tablero de Control'!$B$22='[1]Tablero de Control'!$S$30,Admisión!$K$99,IF('[1]Tablero de Control'!$B$22='[1]Tablero de Control'!$S$31,Admisión!$N$99,0))+IF('[1]Tablero de Control'!$B$62='[1]Tablero de Control'!$S$94,0,Entrega!C18*'[1]Tablero de Control'!$B$62)</f>
        <v>1904</v>
      </c>
      <c r="D225" s="21">
        <f>IF('[1]Tablero de Control'!$B$22='[1]Tablero de Control'!$S$30,Admisión!$K$99,IF('[1]Tablero de Control'!$B$22='[1]Tablero de Control'!$S$31,Admisión!$N$99,0))+IF('[1]Tablero de Control'!$B$62='[1]Tablero de Control'!$S$94,0,Entrega!D18*'[1]Tablero de Control'!$B$62)</f>
        <v>1904</v>
      </c>
      <c r="E225" s="21">
        <f>D225*Demanda!E17/Demanda!D17</f>
        <v>2018.1488885699775</v>
      </c>
      <c r="F225" s="21">
        <f>E225*Demanda!F17/Demanda!E17</f>
        <v>2139.1430606003732</v>
      </c>
      <c r="G225" s="21">
        <f>F225*Demanda!G17/Demanda!F17</f>
        <v>2267.393086861978</v>
      </c>
      <c r="H225" s="21">
        <f>G225*Demanda!H17/Demanda!G17</f>
        <v>2403.334166511448</v>
      </c>
      <c r="I225" s="21">
        <f>H225*Demanda!I17/Demanda!H17</f>
        <v>2547.427603416372</v>
      </c>
      <c r="J225" s="21">
        <f>I225*Demanda!J17/Demanda!I17</f>
        <v>2700.1623755547807</v>
      </c>
      <c r="K225" s="21">
        <f>J225*Demanda!K17/Demanda!J17</f>
        <v>2862.056791910733</v>
      </c>
      <c r="L225" s="21">
        <f>K225*Demanda!L17/Demanda!K17</f>
        <v>3033.6602531490457</v>
      </c>
      <c r="M225" s="21">
        <f>L225*Demanda!M17/Demanda!L17</f>
        <v>3215.555116841214</v>
      </c>
    </row>
    <row r="226" spans="2:13" ht="15.75">
      <c r="B226" s="68" t="s">
        <v>14</v>
      </c>
      <c r="C226" s="21">
        <f>IF('[1]Tablero de Control'!$B$22='[1]Tablero de Control'!$S$30,Admisión!$M$99,IF('[1]Tablero de Control'!$B$22='[1]Tablero de Control'!$S$31,Admisión!$P$99,0))*12/1000000+IF('[1]Tablero de Control'!$B$62='[1]Tablero de Control'!$S$94,0,Entrega!C19*'[1]Tablero de Control'!$B$62)</f>
        <v>20335.52682</v>
      </c>
      <c r="D226" s="21">
        <f>IF('[1]Tablero de Control'!$B$22='[1]Tablero de Control'!$S$30,Admisión!$M$99,IF('[1]Tablero de Control'!$B$22='[1]Tablero de Control'!$S$31,Admisión!$P$99,0))*12/1000000+IF('[1]Tablero de Control'!$B$62='[1]Tablero de Control'!$S$94,0,Entrega!D19*'[1]Tablero de Control'!$B$62)</f>
        <v>20335.52682</v>
      </c>
      <c r="E226" s="21">
        <f>+D226/D225*E225</f>
        <v>21554.68532051889</v>
      </c>
      <c r="F226" s="21">
        <f aca="true" t="shared" si="21" ref="F226:M226">+E226/E225*F225</f>
        <v>22846.954349083913</v>
      </c>
      <c r="G226" s="21">
        <f t="shared" si="21"/>
        <v>24216.718975506483</v>
      </c>
      <c r="H226" s="21">
        <f t="shared" si="21"/>
        <v>25668.627311195323</v>
      </c>
      <c r="I226" s="21">
        <f t="shared" si="21"/>
        <v>27207.606276933802</v>
      </c>
      <c r="J226" s="21">
        <f t="shared" si="21"/>
        <v>28838.878364731696</v>
      </c>
      <c r="K226" s="21">
        <f t="shared" si="21"/>
        <v>30567.979334172196</v>
      </c>
      <c r="L226" s="21">
        <f t="shared" si="21"/>
        <v>32400.777017164077</v>
      </c>
      <c r="M226" s="21">
        <f t="shared" si="21"/>
        <v>34343.49123934493</v>
      </c>
    </row>
    <row r="227" spans="2:13" ht="15.75">
      <c r="B227" s="67" t="s">
        <v>153</v>
      </c>
      <c r="C227" s="88">
        <f>Admisión!$F$120*12/1000000</f>
        <v>13449.48</v>
      </c>
      <c r="D227" s="88">
        <f>Admisión!$F$120*12/1000000</f>
        <v>13449.48</v>
      </c>
      <c r="E227" s="88">
        <f>Admisión!$F$120*12/1000000</f>
        <v>13449.48</v>
      </c>
      <c r="F227" s="88">
        <f>Admisión!$F$120*12/1000000</f>
        <v>13449.48</v>
      </c>
      <c r="G227" s="88">
        <f>Admisión!$F$120*12/1000000</f>
        <v>13449.48</v>
      </c>
      <c r="H227" s="88">
        <f>Admisión!$F$120*12/1000000</f>
        <v>13449.48</v>
      </c>
      <c r="I227" s="88">
        <f>Admisión!$F$120*12/1000000</f>
        <v>13449.48</v>
      </c>
      <c r="J227" s="88">
        <f>Admisión!$F$120*12/1000000</f>
        <v>13449.48</v>
      </c>
      <c r="K227" s="88">
        <f>Admisión!$F$120*12/1000000</f>
        <v>13449.48</v>
      </c>
      <c r="L227" s="88">
        <f>Admisión!$F$120*12/1000000</f>
        <v>13449.48</v>
      </c>
      <c r="M227" s="88">
        <f>Admisión!$F$120*12/1000000</f>
        <v>13449.48</v>
      </c>
    </row>
  </sheetData>
  <sheetProtection/>
  <mergeCells count="13">
    <mergeCell ref="K79:M79"/>
    <mergeCell ref="J79:J80"/>
    <mergeCell ref="N79:P79"/>
    <mergeCell ref="K123:N123"/>
    <mergeCell ref="O123:R123"/>
    <mergeCell ref="C123:F123"/>
    <mergeCell ref="G123:J123"/>
    <mergeCell ref="E101:F101"/>
    <mergeCell ref="C55:F55"/>
    <mergeCell ref="G55:J55"/>
    <mergeCell ref="G79:I79"/>
    <mergeCell ref="D79:F79"/>
    <mergeCell ref="C79:C80"/>
  </mergeCells>
  <printOptions/>
  <pageMargins left="0.7" right="0.7" top="0.75" bottom="0.75" header="0.3" footer="0.3"/>
  <pageSetup horizontalDpi="600" verticalDpi="600" orientation="portrait" r:id="rId1"/>
  <ignoredErrors>
    <ignoredError sqref="E63:F63 E75:F75 C14:D14 I75:J75 F76 G99 N89:N93 I99 I63:J64 G93 G94 I166:J166 E203:F203 I203:J203 O184:R184 I184:J184 I144:J144 G95 C103:D117 N99 N97:P98 P99 J99 Q144:R144 G92 O166:R166 M203:R203 C16:D16 E120:F120 J76 D47 G47 G54 N88 G90 I202:J202 G91 O202:P202 Q202:R202 E71:J71 I67 I65 I66 C119:D120 C118 O88:P88 B21:B45 O89:P93 O96:P96 O81:P81 H81:J98 O82:P82 G97:G98 O83:P83 N96 O84:P84 N95 O85:P85 N94 O86:P86 N87 O87:P87 N86 O94:P94 N85 O95:P95 N84 N83 N82 C81:C96 N81 C99 G96 G81 G82 G83 G84 G85 G86 G87 G88 G89" unlockedFormula="1"/>
    <ignoredError sqref="D118 F118 E118 E119:F119 E103:F117" formula="1" unlockedFormula="1"/>
    <ignoredError sqref="P161 P141 H16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46">
      <selection activeCell="B47" sqref="B47"/>
    </sheetView>
  </sheetViews>
  <sheetFormatPr defaultColWidth="11.421875" defaultRowHeight="15"/>
  <cols>
    <col min="1" max="1" width="1.7109375" style="1" customWidth="1"/>
    <col min="2" max="2" width="59.57421875" style="1" customWidth="1"/>
    <col min="3" max="13" width="12.421875" style="1" bestFit="1" customWidth="1"/>
    <col min="14" max="16384" width="11.421875" style="1" customWidth="1"/>
  </cols>
  <sheetData>
    <row r="1" spans="1:2" s="6" customFormat="1" ht="4.5" customHeight="1">
      <c r="A1" s="8"/>
      <c r="B1" s="8"/>
    </row>
    <row r="2" spans="1:13" s="6" customFormat="1" ht="15.75">
      <c r="A2" s="8"/>
      <c r="B2" s="48" t="s">
        <v>12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6" customFormat="1" ht="15.75">
      <c r="A3" s="8"/>
      <c r="B3" s="48" t="s">
        <v>13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s="6" customFormat="1" ht="15.75">
      <c r="A4" s="8"/>
      <c r="B4" s="47" t="s">
        <v>80</v>
      </c>
      <c r="C4" s="14"/>
      <c r="D4" s="14"/>
      <c r="E4" s="16"/>
      <c r="F4" s="16"/>
      <c r="G4" s="16"/>
      <c r="H4" s="17"/>
      <c r="I4" s="16"/>
      <c r="J4" s="16"/>
      <c r="K4" s="16"/>
      <c r="L4" s="16"/>
      <c r="M4" s="16"/>
    </row>
    <row r="5" spans="1:13" s="6" customFormat="1" ht="4.5" customHeight="1">
      <c r="A5" s="8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="25" customFormat="1" ht="30.75" customHeight="1">
      <c r="B6" s="134" t="s">
        <v>230</v>
      </c>
    </row>
    <row r="7" s="25" customFormat="1" ht="15.75">
      <c r="B7" s="38" t="s">
        <v>64</v>
      </c>
    </row>
    <row r="8" s="25" customFormat="1" ht="15.75">
      <c r="B8" s="43" t="s">
        <v>63</v>
      </c>
    </row>
    <row r="9" spans="2:5" s="25" customFormat="1" ht="32.25" customHeight="1">
      <c r="B9" s="58" t="s">
        <v>62</v>
      </c>
      <c r="C9" s="59" t="s">
        <v>59</v>
      </c>
      <c r="D9" s="60" t="s">
        <v>58</v>
      </c>
      <c r="E9" s="60" t="s">
        <v>57</v>
      </c>
    </row>
    <row r="10" spans="2:5" s="25" customFormat="1" ht="15.75">
      <c r="B10" s="57" t="s">
        <v>73</v>
      </c>
      <c r="C10" s="37">
        <f>+'[1]Opex'!C228</f>
        <v>180</v>
      </c>
      <c r="D10" s="34">
        <f>+'[1]Opex'!D228</f>
        <v>50000</v>
      </c>
      <c r="E10" s="34">
        <f>+C10*D10</f>
        <v>9000000</v>
      </c>
    </row>
    <row r="11" spans="2:5" s="25" customFormat="1" ht="15.75">
      <c r="B11" s="57" t="s">
        <v>74</v>
      </c>
      <c r="C11" s="37">
        <f>+'[1]Opex'!C229</f>
        <v>140</v>
      </c>
      <c r="D11" s="34">
        <f>+'[1]Opex'!D229</f>
        <v>30000</v>
      </c>
      <c r="E11" s="34">
        <f aca="true" t="shared" si="0" ref="E11:E16">+C11*D11</f>
        <v>4200000</v>
      </c>
    </row>
    <row r="12" spans="2:5" s="25" customFormat="1" ht="15.75">
      <c r="B12" s="57" t="s">
        <v>75</v>
      </c>
      <c r="C12" s="37">
        <f>+'[1]Opex'!C230</f>
        <v>140</v>
      </c>
      <c r="D12" s="34">
        <f>+'[1]Opex'!D230</f>
        <v>30000</v>
      </c>
      <c r="E12" s="34">
        <f t="shared" si="0"/>
        <v>4200000</v>
      </c>
    </row>
    <row r="13" spans="2:5" s="25" customFormat="1" ht="15.75">
      <c r="B13" s="57" t="s">
        <v>76</v>
      </c>
      <c r="C13" s="37">
        <f>+'[1]Opex'!C231</f>
        <v>140</v>
      </c>
      <c r="D13" s="34">
        <f>+'[1]Opex'!D231</f>
        <v>30000</v>
      </c>
      <c r="E13" s="34">
        <f t="shared" si="0"/>
        <v>4200000</v>
      </c>
    </row>
    <row r="14" spans="2:5" s="25" customFormat="1" ht="15.75">
      <c r="B14" s="57" t="s">
        <v>129</v>
      </c>
      <c r="C14" s="37">
        <f>+'[1]Opex'!C232</f>
        <v>80</v>
      </c>
      <c r="D14" s="34">
        <f>+'[1]Opex'!D232</f>
        <v>25000</v>
      </c>
      <c r="E14" s="34">
        <f t="shared" si="0"/>
        <v>2000000</v>
      </c>
    </row>
    <row r="15" spans="2:5" s="25" customFormat="1" ht="15.75">
      <c r="B15" s="57" t="s">
        <v>77</v>
      </c>
      <c r="C15" s="37">
        <f>+'[1]Opex'!C233</f>
        <v>80</v>
      </c>
      <c r="D15" s="34">
        <f>+'[1]Opex'!D233</f>
        <v>25000</v>
      </c>
      <c r="E15" s="34">
        <f t="shared" si="0"/>
        <v>2000000</v>
      </c>
    </row>
    <row r="16" spans="2:5" s="25" customFormat="1" ht="15.75">
      <c r="B16" s="57" t="s">
        <v>78</v>
      </c>
      <c r="C16" s="37">
        <f>+'[1]Opex'!C234</f>
        <v>80</v>
      </c>
      <c r="D16" s="34">
        <f>+'[1]Opex'!D234</f>
        <v>30000</v>
      </c>
      <c r="E16" s="34">
        <f t="shared" si="0"/>
        <v>2400000</v>
      </c>
    </row>
    <row r="17" spans="2:5" s="25" customFormat="1" ht="15.75">
      <c r="B17" s="33" t="s">
        <v>56</v>
      </c>
      <c r="C17" s="61" t="s">
        <v>55</v>
      </c>
      <c r="D17" s="44"/>
      <c r="E17" s="44">
        <f>SUM(E10:E16)</f>
        <v>28000000</v>
      </c>
    </row>
    <row r="18" s="25" customFormat="1" ht="15.75">
      <c r="B18" s="43" t="s">
        <v>54</v>
      </c>
    </row>
    <row r="19" spans="2:5" s="25" customFormat="1" ht="15.75">
      <c r="B19" s="42" t="s">
        <v>53</v>
      </c>
      <c r="C19" s="37"/>
      <c r="D19" s="34"/>
      <c r="E19" s="34">
        <f>+'[1]Opex'!$C$235*'[1]Opex'!D238</f>
        <v>17500000</v>
      </c>
    </row>
    <row r="20" spans="2:5" s="25" customFormat="1" ht="15.75">
      <c r="B20" s="42" t="s">
        <v>52</v>
      </c>
      <c r="C20" s="37"/>
      <c r="D20" s="34"/>
      <c r="E20" s="34">
        <f>+'[1]Opex'!$C$235*'[1]Opex'!D239</f>
        <v>8750000</v>
      </c>
    </row>
    <row r="21" spans="2:5" s="25" customFormat="1" ht="15.75">
      <c r="B21" s="42" t="s">
        <v>51</v>
      </c>
      <c r="C21" s="37"/>
      <c r="D21" s="34"/>
      <c r="E21" s="34">
        <f>+'[1]Opex'!$C$235*'[1]Opex'!D240</f>
        <v>15750000</v>
      </c>
    </row>
    <row r="22" spans="2:5" s="25" customFormat="1" ht="15.75">
      <c r="B22" s="42" t="s">
        <v>50</v>
      </c>
      <c r="C22" s="37"/>
      <c r="D22" s="34"/>
      <c r="E22" s="34">
        <f>+'[1]Opex'!$C$235*'[1]Opex'!D241</f>
        <v>21000000</v>
      </c>
    </row>
    <row r="23" spans="2:5" s="25" customFormat="1" ht="15.75">
      <c r="B23" s="40" t="s">
        <v>49</v>
      </c>
      <c r="C23" s="37"/>
      <c r="D23" s="34"/>
      <c r="E23" s="39">
        <f>SUM(E17:E22)</f>
        <v>91000000</v>
      </c>
    </row>
    <row r="24" spans="1:13" s="6" customFormat="1" ht="4.5" customHeight="1">
      <c r="A24" s="8"/>
      <c r="B24" s="15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="25" customFormat="1" ht="15.75">
      <c r="B25" s="38" t="s">
        <v>79</v>
      </c>
    </row>
    <row r="26" spans="2:13" s="25" customFormat="1" ht="15.75">
      <c r="B26" s="51" t="s">
        <v>9</v>
      </c>
      <c r="C26" s="51">
        <f>+'[1]Financieros'!$C$11</f>
        <v>2009</v>
      </c>
      <c r="D26" s="52">
        <f>+'[1]Financieros'!D7</f>
        <v>2010</v>
      </c>
      <c r="E26" s="52">
        <f>+'[1]Financieros'!E7</f>
        <v>2011</v>
      </c>
      <c r="F26" s="52">
        <f>+'[1]Financieros'!F7</f>
        <v>2012</v>
      </c>
      <c r="G26" s="52">
        <f>+'[1]Financieros'!G7</f>
        <v>2013</v>
      </c>
      <c r="H26" s="52">
        <f>+'[1]Financieros'!H7</f>
        <v>2014</v>
      </c>
      <c r="I26" s="52">
        <f>+'[1]Financieros'!I7</f>
        <v>2015</v>
      </c>
      <c r="J26" s="52">
        <f>+'[1]Financieros'!J7</f>
        <v>2016</v>
      </c>
      <c r="K26" s="52">
        <f>+'[1]Financieros'!K7</f>
        <v>2017</v>
      </c>
      <c r="L26" s="52">
        <f>+'[1]Financieros'!L7</f>
        <v>2018</v>
      </c>
      <c r="M26" s="52">
        <f>+'[1]Financieros'!M7</f>
        <v>2019</v>
      </c>
    </row>
    <row r="27" spans="2:13" ht="15.75">
      <c r="B27" s="22" t="s">
        <v>15</v>
      </c>
      <c r="C27" s="53">
        <f>+Clasificación!C65</f>
        <v>133.95326631549034</v>
      </c>
      <c r="D27" s="53">
        <f>+Clasificación!D65</f>
        <v>133.57533585827719</v>
      </c>
      <c r="E27" s="53">
        <f>+Clasificación!E65</f>
        <v>140.37779760584039</v>
      </c>
      <c r="F27" s="53">
        <f>+Clasificación!F65</f>
        <v>147.56826395252872</v>
      </c>
      <c r="G27" s="53">
        <f>+Clasificación!G65</f>
        <v>155.16891271980148</v>
      </c>
      <c r="H27" s="53">
        <f>+Clasificación!H65</f>
        <v>163.2031915756046</v>
      </c>
      <c r="I27" s="53">
        <f>+Clasificación!I65</f>
        <v>171.69589077776678</v>
      </c>
      <c r="J27" s="53">
        <f>+Clasificación!J65</f>
        <v>180.6732203769905</v>
      </c>
      <c r="K27" s="53">
        <f>+Clasificación!K65</f>
        <v>190.16289143405277</v>
      </c>
      <c r="L27" s="53">
        <f>+Clasificación!L65</f>
        <v>200.1942021761301</v>
      </c>
      <c r="M27" s="53">
        <f>+Clasificación!M65</f>
        <v>210.79812903279426</v>
      </c>
    </row>
    <row r="28" ht="15.75">
      <c r="B28" s="55" t="s">
        <v>72</v>
      </c>
    </row>
    <row r="29" spans="2:13" ht="15.75">
      <c r="B29" s="56" t="s">
        <v>134</v>
      </c>
      <c r="C29" s="54">
        <f>+C27*'[1]Capex'!$C$113</f>
        <v>70995231.14720988</v>
      </c>
      <c r="D29" s="54">
        <f>(D27-C27)*'[1]Capex'!$C$113</f>
        <v>-200303.14232297143</v>
      </c>
      <c r="E29" s="54">
        <f>(E27-D27)*'[1]Capex'!$C$113</f>
        <v>3605304.726208496</v>
      </c>
      <c r="F29" s="54">
        <f>(F27-E27)*'[1]Capex'!$C$113</f>
        <v>3810947.16374482</v>
      </c>
      <c r="G29" s="54">
        <f>(G27-F27)*'[1]Capex'!$C$113</f>
        <v>4028343.8466545623</v>
      </c>
      <c r="H29" s="54">
        <f>(H27-G27)*'[1]Capex'!$C$113</f>
        <v>4258167.793575647</v>
      </c>
      <c r="I29" s="54">
        <f>(I27-H27)*'[1]Capex'!$C$113</f>
        <v>4501130.577145958</v>
      </c>
      <c r="J29" s="54">
        <f>(J27-I27)*'[1]Capex'!$C$113</f>
        <v>4757984.68758858</v>
      </c>
      <c r="K29" s="54">
        <f>(K27-J27)*'[1]Capex'!$C$113</f>
        <v>5029525.660242994</v>
      </c>
      <c r="L29" s="54">
        <f>(L27-K27)*'[1]Capex'!$C$113</f>
        <v>5316594.693300981</v>
      </c>
      <c r="M29" s="54">
        <f>(M27-L27)*'[1]Capex'!$C$113</f>
        <v>5620081.2340320125</v>
      </c>
    </row>
    <row r="30" spans="2:13" ht="15.75">
      <c r="B30" s="56" t="s">
        <v>135</v>
      </c>
      <c r="C30" s="54">
        <f>+'[1]Capex'!$D$124*'[1]Opex'!$C$235</f>
        <v>111720000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ht="15.75">
      <c r="B31" s="55" t="s">
        <v>136</v>
      </c>
    </row>
    <row r="32" spans="2:13" ht="15.75">
      <c r="B32" s="56" t="s">
        <v>203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</row>
    <row r="33" spans="2:13" ht="15.75">
      <c r="B33" s="122" t="s">
        <v>210</v>
      </c>
      <c r="C33" s="54">
        <f>IF('[1]Tablero de Control'!$B$47='[1]Tablero de Control'!$S$67,'[1]Capex'!$C$164*'[1]Capex'!$D$160,IF('[1]Tablero de Control'!$B$47='[1]Tablero de Control'!$S$68,'[1]Capex'!$C$164*'[1]Capex'!$D$160,IF('[1]Tablero de Control'!$B$47='[1]Tablero de Control'!$S$69,'[1]Capex'!$C$164*'[1]Capex'!$D$160,0)))</f>
        <v>0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spans="2:13" ht="15.75">
      <c r="B34" s="122" t="s">
        <v>211</v>
      </c>
      <c r="C34" s="54">
        <f>IF('[1]Tablero de Control'!$B$47='[1]Tablero de Control'!$S$68,'[1]Capex'!$C$165*'[1]Capex'!$D$160,IF('[1]Tablero de Control'!$B$47='[1]Tablero de Control'!$S$69,'[1]Capex'!$C$165*'[1]Capex'!$D$160,0))</f>
        <v>0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</row>
    <row r="35" spans="2:13" ht="15.75">
      <c r="B35" s="122" t="s">
        <v>212</v>
      </c>
      <c r="C35" s="54">
        <f>IF('[1]Tablero de Control'!$B$47='[1]Tablero de Control'!$S$69,'[1]Capex'!$C$166*'[1]Capex'!$D$160,0)</f>
        <v>0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</row>
    <row r="36" spans="2:13" ht="15.75">
      <c r="B36" s="56" t="s">
        <v>137</v>
      </c>
      <c r="C36" s="54">
        <f>+'[1]Capex'!$C$115*('[1]Opex'!$C$223+'[1]Opex'!$C$224)*'[1]Opex'!$C$225</f>
        <v>33600000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</row>
    <row r="37" spans="2:13" ht="15.75">
      <c r="B37" s="124" t="s">
        <v>131</v>
      </c>
      <c r="C37" s="54">
        <f>SUM(C33:C36)</f>
        <v>33600000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</row>
    <row r="38" ht="4.5" customHeight="1"/>
    <row r="39" spans="2:13" ht="15.75">
      <c r="B39" s="46" t="s">
        <v>154</v>
      </c>
      <c r="C39" s="51">
        <f>+C26</f>
        <v>2009</v>
      </c>
      <c r="D39" s="51">
        <f aca="true" t="shared" si="1" ref="D39:M39">+D26</f>
        <v>2010</v>
      </c>
      <c r="E39" s="51">
        <f t="shared" si="1"/>
        <v>2011</v>
      </c>
      <c r="F39" s="51">
        <f t="shared" si="1"/>
        <v>2012</v>
      </c>
      <c r="G39" s="51">
        <f t="shared" si="1"/>
        <v>2013</v>
      </c>
      <c r="H39" s="51">
        <f t="shared" si="1"/>
        <v>2014</v>
      </c>
      <c r="I39" s="51">
        <f t="shared" si="1"/>
        <v>2015</v>
      </c>
      <c r="J39" s="51">
        <f t="shared" si="1"/>
        <v>2016</v>
      </c>
      <c r="K39" s="51">
        <f t="shared" si="1"/>
        <v>2017</v>
      </c>
      <c r="L39" s="51">
        <f t="shared" si="1"/>
        <v>2018</v>
      </c>
      <c r="M39" s="51">
        <f t="shared" si="1"/>
        <v>2019</v>
      </c>
    </row>
    <row r="40" spans="2:13" ht="15.75">
      <c r="B40" s="66" t="s">
        <v>127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2:13" ht="15.75">
      <c r="B41" s="67" t="s">
        <v>126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2:13" ht="15.75">
      <c r="B42" s="22" t="s">
        <v>67</v>
      </c>
      <c r="C42" s="21">
        <f>+Demanda!C18*1000000</f>
        <v>109128067.32985246</v>
      </c>
      <c r="D42" s="21">
        <f>+Demanda!D18*1000000</f>
        <v>115675751.40105069</v>
      </c>
      <c r="E42" s="21">
        <f>+Demanda!E18*1000000</f>
        <v>122616296.51840523</v>
      </c>
      <c r="F42" s="21">
        <f>+Demanda!F18*1000000</f>
        <v>129973274.34479856</v>
      </c>
      <c r="G42" s="21">
        <f>+Demanda!G18*1000000</f>
        <v>137771670.8428928</v>
      </c>
      <c r="H42" s="21">
        <f>+Demanda!H18*1000000</f>
        <v>146037971.1331171</v>
      </c>
      <c r="I42" s="21">
        <f>+Demanda!I18*1000000</f>
        <v>154800249.37393433</v>
      </c>
      <c r="J42" s="21">
        <f>+Demanda!J18*1000000</f>
        <v>164088264.3075704</v>
      </c>
      <c r="K42" s="21">
        <f>+Demanda!K18*1000000</f>
        <v>173933560.13549662</v>
      </c>
      <c r="L42" s="21">
        <f>+Demanda!L18*1000000</f>
        <v>184369573.7112667</v>
      </c>
      <c r="M42" s="21">
        <f>+Demanda!M18*1000000</f>
        <v>195431748.09964138</v>
      </c>
    </row>
    <row r="43" spans="2:13" ht="15.75">
      <c r="B43" s="22" t="s">
        <v>68</v>
      </c>
      <c r="C43" s="21">
        <f aca="true" t="shared" si="2" ref="C43:M43">C44+C45</f>
        <v>576</v>
      </c>
      <c r="D43" s="21">
        <f t="shared" si="2"/>
        <v>604.8</v>
      </c>
      <c r="E43" s="21">
        <f t="shared" si="2"/>
        <v>605.52</v>
      </c>
      <c r="F43" s="21">
        <f t="shared" si="2"/>
        <v>606.24</v>
      </c>
      <c r="G43" s="21">
        <f t="shared" si="2"/>
        <v>606.96</v>
      </c>
      <c r="H43" s="21">
        <f t="shared" si="2"/>
        <v>607.68</v>
      </c>
      <c r="I43" s="21">
        <f t="shared" si="2"/>
        <v>608.4</v>
      </c>
      <c r="J43" s="21">
        <f t="shared" si="2"/>
        <v>609.12</v>
      </c>
      <c r="K43" s="21">
        <f t="shared" si="2"/>
        <v>609.84</v>
      </c>
      <c r="L43" s="21">
        <f t="shared" si="2"/>
        <v>610.56</v>
      </c>
      <c r="M43" s="21">
        <f t="shared" si="2"/>
        <v>611.28</v>
      </c>
    </row>
    <row r="44" spans="2:13" ht="15.75">
      <c r="B44" s="49" t="s">
        <v>70</v>
      </c>
      <c r="C44" s="21">
        <f>IF('[1]Tablero de Control'!$B$7='[1]Tablero de Control'!$S$7,'[1]Opex'!$C$202,IF('[1]Tablero de Control'!$B$7='[1]Tablero de Control'!$S$8,'[1]Opex'!$C$206,IF('[1]Tablero de Control'!$B$7='[1]Tablero de Control'!$S$9,'[1]Opex'!$C$210,0)))</f>
        <v>576</v>
      </c>
      <c r="D44" s="21">
        <f>IF('[1]Tablero de Control'!$B$7='[1]Tablero de Control'!$S$7,'[1]Opex'!$C$202,IF('[1]Tablero de Control'!$B$7='[1]Tablero de Control'!$S$8,'[1]Opex'!$C$206,IF('[1]Tablero de Control'!$B$7='[1]Tablero de Control'!$S$9,'[1]Opex'!$C$210,0)))</f>
        <v>576</v>
      </c>
      <c r="E44" s="21">
        <f>IF('[1]Tablero de Control'!$B$7='[1]Tablero de Control'!$S$7,'[1]Opex'!$C$202,IF('[1]Tablero de Control'!$B$7='[1]Tablero de Control'!$S$8,'[1]Opex'!$C$206,IF('[1]Tablero de Control'!$B$7='[1]Tablero de Control'!$S$9,'[1]Opex'!$C$210,0)))</f>
        <v>576</v>
      </c>
      <c r="F44" s="21">
        <f>IF('[1]Tablero de Control'!$B$7='[1]Tablero de Control'!$S$7,'[1]Opex'!$C$202,IF('[1]Tablero de Control'!$B$7='[1]Tablero de Control'!$S$8,'[1]Opex'!$C$206,IF('[1]Tablero de Control'!$B$7='[1]Tablero de Control'!$S$9,'[1]Opex'!$C$210,0)))</f>
        <v>576</v>
      </c>
      <c r="G44" s="21">
        <f>IF('[1]Tablero de Control'!$B$7='[1]Tablero de Control'!$S$7,'[1]Opex'!$C$202,IF('[1]Tablero de Control'!$B$7='[1]Tablero de Control'!$S$8,'[1]Opex'!$C$206,IF('[1]Tablero de Control'!$B$7='[1]Tablero de Control'!$S$9,'[1]Opex'!$C$210,0)))</f>
        <v>576</v>
      </c>
      <c r="H44" s="21">
        <f>IF('[1]Tablero de Control'!$B$7='[1]Tablero de Control'!$S$7,'[1]Opex'!$C$202,IF('[1]Tablero de Control'!$B$7='[1]Tablero de Control'!$S$8,'[1]Opex'!$C$206,IF('[1]Tablero de Control'!$B$7='[1]Tablero de Control'!$S$9,'[1]Opex'!$C$210,0)))</f>
        <v>576</v>
      </c>
      <c r="I44" s="21">
        <f>IF('[1]Tablero de Control'!$B$7='[1]Tablero de Control'!$S$7,'[1]Opex'!$C$202,IF('[1]Tablero de Control'!$B$7='[1]Tablero de Control'!$S$8,'[1]Opex'!$C$206,IF('[1]Tablero de Control'!$B$7='[1]Tablero de Control'!$S$9,'[1]Opex'!$C$210,0)))</f>
        <v>576</v>
      </c>
      <c r="J44" s="21">
        <f>IF('[1]Tablero de Control'!$B$7='[1]Tablero de Control'!$S$7,'[1]Opex'!$C$202,IF('[1]Tablero de Control'!$B$7='[1]Tablero de Control'!$S$8,'[1]Opex'!$C$206,IF('[1]Tablero de Control'!$B$7='[1]Tablero de Control'!$S$9,'[1]Opex'!$C$210,0)))</f>
        <v>576</v>
      </c>
      <c r="K44" s="21">
        <f>IF('[1]Tablero de Control'!$B$7='[1]Tablero de Control'!$S$7,'[1]Opex'!$C$202,IF('[1]Tablero de Control'!$B$7='[1]Tablero de Control'!$S$8,'[1]Opex'!$C$206,IF('[1]Tablero de Control'!$B$7='[1]Tablero de Control'!$S$9,'[1]Opex'!$C$210,0)))</f>
        <v>576</v>
      </c>
      <c r="L44" s="21">
        <f>IF('[1]Tablero de Control'!$B$7='[1]Tablero de Control'!$S$7,'[1]Opex'!$C$202,IF('[1]Tablero de Control'!$B$7='[1]Tablero de Control'!$S$8,'[1]Opex'!$C$206,IF('[1]Tablero de Control'!$B$7='[1]Tablero de Control'!$S$9,'[1]Opex'!$C$210,0)))</f>
        <v>576</v>
      </c>
      <c r="M44" s="21">
        <f>IF('[1]Tablero de Control'!$B$7='[1]Tablero de Control'!$S$7,'[1]Opex'!$C$202,IF('[1]Tablero de Control'!$B$7='[1]Tablero de Control'!$S$8,'[1]Opex'!$C$206,IF('[1]Tablero de Control'!$B$7='[1]Tablero de Control'!$S$9,'[1]Opex'!$C$210,0)))</f>
        <v>576</v>
      </c>
    </row>
    <row r="45" spans="2:13" ht="15.75">
      <c r="B45" s="49" t="s">
        <v>71</v>
      </c>
      <c r="C45" s="21">
        <f>IF('[1]Tablero de Control'!$B$22='[1]Tablero de Control'!$S$30,0,IF('[1]Tablero de Control'!$B$22='[1]Tablero de Control'!$S$31,$C$44*'[1]Opex'!C214,0))</f>
        <v>0</v>
      </c>
      <c r="D45" s="21">
        <f>IF('[1]Tablero de Control'!$B$22='[1]Tablero de Control'!$S$30,0,IF('[1]Tablero de Control'!$B$22='[1]Tablero de Control'!$S$31,$C$44*'[1]Opex'!D214,0))</f>
        <v>28.8</v>
      </c>
      <c r="E45" s="21">
        <f>IF('[1]Tablero de Control'!$B$22='[1]Tablero de Control'!$S$30,0,IF('[1]Tablero de Control'!$B$22='[1]Tablero de Control'!$S$31,$C$44*'[1]Opex'!E214,0))</f>
        <v>29.52</v>
      </c>
      <c r="F45" s="21">
        <f>IF('[1]Tablero de Control'!$B$22='[1]Tablero de Control'!$S$30,0,IF('[1]Tablero de Control'!$B$22='[1]Tablero de Control'!$S$31,$C$44*'[1]Opex'!F214,0))</f>
        <v>30.24</v>
      </c>
      <c r="G45" s="21">
        <f>IF('[1]Tablero de Control'!$B$22='[1]Tablero de Control'!$S$30,0,IF('[1]Tablero de Control'!$B$22='[1]Tablero de Control'!$S$31,$C$44*'[1]Opex'!G214,0))</f>
        <v>30.96</v>
      </c>
      <c r="H45" s="21">
        <f>IF('[1]Tablero de Control'!$B$22='[1]Tablero de Control'!$S$30,0,IF('[1]Tablero de Control'!$B$22='[1]Tablero de Control'!$S$31,$C$44*'[1]Opex'!H214,0))</f>
        <v>31.68</v>
      </c>
      <c r="I45" s="21">
        <f>IF('[1]Tablero de Control'!$B$22='[1]Tablero de Control'!$S$30,0,IF('[1]Tablero de Control'!$B$22='[1]Tablero de Control'!$S$31,$C$44*'[1]Opex'!I214,0))</f>
        <v>32.4</v>
      </c>
      <c r="J45" s="21">
        <f>IF('[1]Tablero de Control'!$B$22='[1]Tablero de Control'!$S$30,0,IF('[1]Tablero de Control'!$B$22='[1]Tablero de Control'!$S$31,$C$44*'[1]Opex'!J214,0))</f>
        <v>33.120000000000005</v>
      </c>
      <c r="K45" s="21">
        <f>IF('[1]Tablero de Control'!$B$22='[1]Tablero de Control'!$S$30,0,IF('[1]Tablero de Control'!$B$22='[1]Tablero de Control'!$S$31,$C$44*'[1]Opex'!K214,0))</f>
        <v>33.839999999999996</v>
      </c>
      <c r="L45" s="21">
        <f>IF('[1]Tablero de Control'!$B$22='[1]Tablero de Control'!$S$30,0,IF('[1]Tablero de Control'!$B$22='[1]Tablero de Control'!$S$31,$C$44*'[1]Opex'!L214,0))</f>
        <v>34.56</v>
      </c>
      <c r="M45" s="21">
        <f>IF('[1]Tablero de Control'!$B$22='[1]Tablero de Control'!$S$30,0,IF('[1]Tablero de Control'!$B$22='[1]Tablero de Control'!$S$31,$C$44*'[1]Opex'!M214,0))</f>
        <v>35.28</v>
      </c>
    </row>
    <row r="46" spans="2:13" ht="15.75">
      <c r="B46" s="22" t="s">
        <v>69</v>
      </c>
      <c r="C46" s="50">
        <f>IF('[1]Tablero de Control'!$B$22='[1]Tablero de Control'!$S$30,'[1]Opex'!$C$198,IF('[1]Tablero de Control'!$B$22='[1]Tablero de Control'!$S$31,'[1]Opex'!C215,0))</f>
        <v>0.8</v>
      </c>
      <c r="D46" s="50">
        <f>IF('[1]Tablero de Control'!$B$22='[1]Tablero de Control'!$S$30,'[1]Opex'!$C$198,IF('[1]Tablero de Control'!$B$22='[1]Tablero de Control'!$S$31,'[1]Opex'!D215,0))</f>
        <v>0.81</v>
      </c>
      <c r="E46" s="50">
        <f>IF('[1]Tablero de Control'!$B$22='[1]Tablero de Control'!$S$30,'[1]Opex'!$C$198,IF('[1]Tablero de Control'!$B$22='[1]Tablero de Control'!$S$31,'[1]Opex'!E215,0))</f>
        <v>0.81125</v>
      </c>
      <c r="F46" s="50">
        <f>IF('[1]Tablero de Control'!$B$22='[1]Tablero de Control'!$S$30,'[1]Opex'!$C$198,IF('[1]Tablero de Control'!$B$22='[1]Tablero de Control'!$S$31,'[1]Opex'!F215,0))</f>
        <v>0.8125</v>
      </c>
      <c r="G46" s="50">
        <f>IF('[1]Tablero de Control'!$B$22='[1]Tablero de Control'!$S$30,'[1]Opex'!$C$198,IF('[1]Tablero de Control'!$B$22='[1]Tablero de Control'!$S$31,'[1]Opex'!G215,0))</f>
        <v>0.81375</v>
      </c>
      <c r="H46" s="50">
        <f>IF('[1]Tablero de Control'!$B$22='[1]Tablero de Control'!$S$30,'[1]Opex'!$C$198,IF('[1]Tablero de Control'!$B$22='[1]Tablero de Control'!$S$31,'[1]Opex'!H215,0))</f>
        <v>0.815</v>
      </c>
      <c r="I46" s="50">
        <f>IF('[1]Tablero de Control'!$B$22='[1]Tablero de Control'!$S$30,'[1]Opex'!$C$198,IF('[1]Tablero de Control'!$B$22='[1]Tablero de Control'!$S$31,'[1]Opex'!I215,0))</f>
        <v>0.81625</v>
      </c>
      <c r="J46" s="50">
        <f>IF('[1]Tablero de Control'!$B$22='[1]Tablero de Control'!$S$30,'[1]Opex'!$C$198,IF('[1]Tablero de Control'!$B$22='[1]Tablero de Control'!$S$31,'[1]Opex'!J215,0))</f>
        <v>0.8175</v>
      </c>
      <c r="K46" s="50">
        <f>IF('[1]Tablero de Control'!$B$22='[1]Tablero de Control'!$S$30,'[1]Opex'!$C$198,IF('[1]Tablero de Control'!$B$22='[1]Tablero de Control'!$S$31,'[1]Opex'!K215,0))</f>
        <v>0.81875</v>
      </c>
      <c r="L46" s="50">
        <f>IF('[1]Tablero de Control'!$B$22='[1]Tablero de Control'!$S$30,'[1]Opex'!$C$198,IF('[1]Tablero de Control'!$B$22='[1]Tablero de Control'!$S$31,'[1]Opex'!L215,0))</f>
        <v>0.82</v>
      </c>
      <c r="M46" s="50">
        <f>IF('[1]Tablero de Control'!$B$22='[1]Tablero de Control'!$S$30,'[1]Opex'!$C$198,IF('[1]Tablero de Control'!$B$22='[1]Tablero de Control'!$S$31,'[1]Opex'!M215,0))</f>
        <v>0.82125</v>
      </c>
    </row>
    <row r="47" spans="2:13" ht="15.75">
      <c r="B47" s="22" t="s">
        <v>15</v>
      </c>
      <c r="C47" s="21">
        <f>+C42/((C43*'[1]Opex'!$C$195*'[1]Opex'!$C$196*(1-'[1]Opex'!$C$197)*C46)*12)</f>
        <v>118.60129346043561</v>
      </c>
      <c r="D47" s="21">
        <f>+D42/((D43*'[1]Opex'!$C$195*'[1]Opex'!$C$196*(1-'[1]Opex'!$C$197)*D46)*12)</f>
        <v>118.2526712307539</v>
      </c>
      <c r="E47" s="21">
        <f>+E42/((E43*'[1]Opex'!$C$195*'[1]Opex'!$C$196*(1-'[1]Opex'!$C$197)*E46)*12)</f>
        <v>125.00587506455247</v>
      </c>
      <c r="F47" s="21">
        <f>+F42/((F43*'[1]Opex'!$C$195*'[1]Opex'!$C$196*(1-'[1]Opex'!$C$197)*F46)*12)</f>
        <v>132.1452431619427</v>
      </c>
      <c r="G47" s="21">
        <f>+G42/((G43*'[1]Opex'!$C$195*'[1]Opex'!$C$196*(1-'[1]Opex'!$C$197)*G46)*12)</f>
        <v>139.69288438135635</v>
      </c>
      <c r="H47" s="21">
        <f>+H42/((H43*'[1]Opex'!$C$195*'[1]Opex'!$C$196*(1-'[1]Opex'!$C$197)*H46)*12)</f>
        <v>147.67217483619322</v>
      </c>
      <c r="I47" s="21">
        <f>+I42/((I43*'[1]Opex'!$C$195*'[1]Opex'!$C$196*(1-'[1]Opex'!$C$197)*I46)*12)</f>
        <v>156.1078305425412</v>
      </c>
      <c r="J47" s="21">
        <f>+J42/((J43*'[1]Opex'!$C$195*'[1]Opex'!$C$196*(1-'[1]Opex'!$C$197)*J46)*12)</f>
        <v>165.02598451508703</v>
      </c>
      <c r="K47" s="21">
        <f>+K42/((K43*'[1]Opex'!$C$195*'[1]Opex'!$C$196*(1-'[1]Opex'!$C$197)*K46)*12)</f>
        <v>174.45426788475712</v>
      </c>
      <c r="L47" s="21">
        <f>+L42/((L43*'[1]Opex'!$C$195*'[1]Opex'!$C$196*(1-'[1]Opex'!$C$197)*L46)*12)</f>
        <v>184.42189594408876</v>
      </c>
      <c r="M47" s="21">
        <f>+M42/((M43*'[1]Opex'!$C$195*'[1]Opex'!$C$196*(1-'[1]Opex'!$C$197)*M46)*12)</f>
        <v>194.95975906996884</v>
      </c>
    </row>
    <row r="48" spans="2:13" ht="15.75">
      <c r="B48" s="22" t="s">
        <v>14</v>
      </c>
      <c r="C48" s="21">
        <f>IF('[1]Tablero de Control'!$B$7='[1]Tablero de Control'!$S$7,C47*(IF('[1]Tablero de Control'!$B$22='[1]Tablero de Control'!$S$30,'[1]Operadores'!$AB$10,IF('[1]Tablero de Control'!$B$22='[1]Tablero de Control'!$S$31,'[1]Financieros'!$C$146,0))),IF('[1]Tablero de Control'!$B$7='[1]Tablero de Control'!$S$8,C47*(IF('[1]Tablero de Control'!$B$22='[1]Tablero de Control'!$S$30,'[1]Operadores'!$AB$12,IF('[1]Tablero de Control'!$B$22='[1]Tablero de Control'!$S$31,'[1]Financieros'!$C$146,0))),IF('[1]Tablero de Control'!$B$7='[1]Tablero de Control'!$S$9,C47*(IF('[1]Tablero de Control'!$B$22='[1]Tablero de Control'!$S$30,'[1]Operadores'!$AB$13,IF('[1]Tablero de Control'!$B$22='[1]Tablero de Control'!$S$31,'[1]Financieros'!$C$146,0))),0)))/1000000*12</f>
        <v>1255.3401346837193</v>
      </c>
      <c r="D48" s="21">
        <f>IF('[1]Tablero de Control'!$B$7='[1]Tablero de Control'!$S$7,D47*(IF('[1]Tablero de Control'!$B$22='[1]Tablero de Control'!$S$30,'[1]Operadores'!$AB$10,IF('[1]Tablero de Control'!$B$22='[1]Tablero de Control'!$S$31,'[1]Financieros'!$C$146,0))),IF('[1]Tablero de Control'!$B$7='[1]Tablero de Control'!$S$8,D47*(IF('[1]Tablero de Control'!$B$22='[1]Tablero de Control'!$S$30,'[1]Operadores'!$AB$12,IF('[1]Tablero de Control'!$B$22='[1]Tablero de Control'!$S$31,'[1]Financieros'!$C$146,0))),IF('[1]Tablero de Control'!$B$7='[1]Tablero de Control'!$S$9,D47*(IF('[1]Tablero de Control'!$B$22='[1]Tablero de Control'!$S$30,'[1]Operadores'!$AB$13,IF('[1]Tablero de Control'!$B$22='[1]Tablero de Control'!$S$31,'[1]Financieros'!$C$146,0))),0)))/1000000*12</f>
        <v>1251.650128748764</v>
      </c>
      <c r="E48" s="21">
        <f>IF('[1]Tablero de Control'!$B$7='[1]Tablero de Control'!$S$7,E47*(IF('[1]Tablero de Control'!$B$22='[1]Tablero de Control'!$S$30,'[1]Operadores'!$AB$10,IF('[1]Tablero de Control'!$B$22='[1]Tablero de Control'!$S$31,'[1]Financieros'!$C$146,0))),IF('[1]Tablero de Control'!$B$7='[1]Tablero de Control'!$S$8,E47*(IF('[1]Tablero de Control'!$B$22='[1]Tablero de Control'!$S$30,'[1]Operadores'!$AB$12,IF('[1]Tablero de Control'!$B$22='[1]Tablero de Control'!$S$31,'[1]Financieros'!$C$146,0))),IF('[1]Tablero de Control'!$B$7='[1]Tablero de Control'!$S$9,E47*(IF('[1]Tablero de Control'!$B$22='[1]Tablero de Control'!$S$30,'[1]Operadores'!$AB$13,IF('[1]Tablero de Control'!$B$22='[1]Tablero de Control'!$S$31,'[1]Financieros'!$C$146,0))),0)))/1000000*12</f>
        <v>1323.1296848557581</v>
      </c>
      <c r="F48" s="21">
        <f>IF('[1]Tablero de Control'!$B$7='[1]Tablero de Control'!$S$7,F47*(IF('[1]Tablero de Control'!$B$22='[1]Tablero de Control'!$S$30,'[1]Operadores'!$AB$10,IF('[1]Tablero de Control'!$B$22='[1]Tablero de Control'!$S$31,'[1]Financieros'!$C$146,0))),IF('[1]Tablero de Control'!$B$7='[1]Tablero de Control'!$S$8,F47*(IF('[1]Tablero de Control'!$B$22='[1]Tablero de Control'!$S$30,'[1]Operadores'!$AB$12,IF('[1]Tablero de Control'!$B$22='[1]Tablero de Control'!$S$31,'[1]Financieros'!$C$146,0))),IF('[1]Tablero de Control'!$B$7='[1]Tablero de Control'!$S$9,F47*(IF('[1]Tablero de Control'!$B$22='[1]Tablero de Control'!$S$30,'[1]Operadores'!$AB$13,IF('[1]Tablero de Control'!$B$22='[1]Tablero de Control'!$S$31,'[1]Financieros'!$C$146,0))),0)))/1000000*12</f>
        <v>1398.6966120573088</v>
      </c>
      <c r="G48" s="21">
        <f>IF('[1]Tablero de Control'!$B$7='[1]Tablero de Control'!$S$7,G47*(IF('[1]Tablero de Control'!$B$22='[1]Tablero de Control'!$S$30,'[1]Operadores'!$AB$10,IF('[1]Tablero de Control'!$B$22='[1]Tablero de Control'!$S$31,'[1]Financieros'!$C$146,0))),IF('[1]Tablero de Control'!$B$7='[1]Tablero de Control'!$S$8,G47*(IF('[1]Tablero de Control'!$B$22='[1]Tablero de Control'!$S$30,'[1]Operadores'!$AB$12,IF('[1]Tablero de Control'!$B$22='[1]Tablero de Control'!$S$31,'[1]Financieros'!$C$146,0))),IF('[1]Tablero de Control'!$B$7='[1]Tablero de Control'!$S$9,G47*(IF('[1]Tablero de Control'!$B$22='[1]Tablero de Control'!$S$30,'[1]Operadores'!$AB$13,IF('[1]Tablero de Control'!$B$22='[1]Tablero de Control'!$S$31,'[1]Financieros'!$C$146,0))),0)))/1000000*12</f>
        <v>1478.5849224498415</v>
      </c>
      <c r="H48" s="21">
        <f>IF('[1]Tablero de Control'!$B$7='[1]Tablero de Control'!$S$7,H47*(IF('[1]Tablero de Control'!$B$22='[1]Tablero de Control'!$S$30,'[1]Operadores'!$AB$10,IF('[1]Tablero de Control'!$B$22='[1]Tablero de Control'!$S$31,'[1]Financieros'!$C$146,0))),IF('[1]Tablero de Control'!$B$7='[1]Tablero de Control'!$S$8,H47*(IF('[1]Tablero de Control'!$B$22='[1]Tablero de Control'!$S$30,'[1]Operadores'!$AB$12,IF('[1]Tablero de Control'!$B$22='[1]Tablero de Control'!$S$31,'[1]Financieros'!$C$146,0))),IF('[1]Tablero de Control'!$B$7='[1]Tablero de Control'!$S$9,H47*(IF('[1]Tablero de Control'!$B$22='[1]Tablero de Control'!$S$30,'[1]Operadores'!$AB$13,IF('[1]Tablero de Control'!$B$22='[1]Tablero de Control'!$S$31,'[1]Financieros'!$C$146,0))),0)))/1000000*12</f>
        <v>1563.0420414406804</v>
      </c>
      <c r="I48" s="21">
        <f>IF('[1]Tablero de Control'!$B$7='[1]Tablero de Control'!$S$7,I47*(IF('[1]Tablero de Control'!$B$22='[1]Tablero de Control'!$S$30,'[1]Operadores'!$AB$10,IF('[1]Tablero de Control'!$B$22='[1]Tablero de Control'!$S$31,'[1]Financieros'!$C$146,0))),IF('[1]Tablero de Control'!$B$7='[1]Tablero de Control'!$S$8,I47*(IF('[1]Tablero de Control'!$B$22='[1]Tablero de Control'!$S$30,'[1]Operadores'!$AB$12,IF('[1]Tablero de Control'!$B$22='[1]Tablero de Control'!$S$31,'[1]Financieros'!$C$146,0))),IF('[1]Tablero de Control'!$B$7='[1]Tablero de Control'!$S$9,I47*(IF('[1]Tablero de Control'!$B$22='[1]Tablero de Control'!$S$30,'[1]Operadores'!$AB$13,IF('[1]Tablero de Control'!$B$22='[1]Tablero de Control'!$S$31,'[1]Financieros'!$C$146,0))),0)))/1000000*12</f>
        <v>1652.329576690749</v>
      </c>
      <c r="J48" s="21">
        <f>IF('[1]Tablero de Control'!$B$7='[1]Tablero de Control'!$S$7,J47*(IF('[1]Tablero de Control'!$B$22='[1]Tablero de Control'!$S$30,'[1]Operadores'!$AB$10,IF('[1]Tablero de Control'!$B$22='[1]Tablero de Control'!$S$31,'[1]Financieros'!$C$146,0))),IF('[1]Tablero de Control'!$B$7='[1]Tablero de Control'!$S$8,J47*(IF('[1]Tablero de Control'!$B$22='[1]Tablero de Control'!$S$30,'[1]Operadores'!$AB$12,IF('[1]Tablero de Control'!$B$22='[1]Tablero de Control'!$S$31,'[1]Financieros'!$C$146,0))),IF('[1]Tablero de Control'!$B$7='[1]Tablero de Control'!$S$9,J47*(IF('[1]Tablero de Control'!$B$22='[1]Tablero de Control'!$S$30,'[1]Operadores'!$AB$13,IF('[1]Tablero de Control'!$B$22='[1]Tablero de Control'!$S$31,'[1]Financieros'!$C$146,0))),0)))/1000000*12</f>
        <v>1746.7241341393192</v>
      </c>
      <c r="K48" s="21">
        <f>IF('[1]Tablero de Control'!$B$7='[1]Tablero de Control'!$S$7,K47*(IF('[1]Tablero de Control'!$B$22='[1]Tablero de Control'!$S$30,'[1]Operadores'!$AB$10,IF('[1]Tablero de Control'!$B$22='[1]Tablero de Control'!$S$31,'[1]Financieros'!$C$146,0))),IF('[1]Tablero de Control'!$B$7='[1]Tablero de Control'!$S$8,K47*(IF('[1]Tablero de Control'!$B$22='[1]Tablero de Control'!$S$30,'[1]Operadores'!$AB$12,IF('[1]Tablero de Control'!$B$22='[1]Tablero de Control'!$S$31,'[1]Financieros'!$C$146,0))),IF('[1]Tablero de Control'!$B$7='[1]Tablero de Control'!$S$9,K47*(IF('[1]Tablero de Control'!$B$22='[1]Tablero de Control'!$S$30,'[1]Operadores'!$AB$13,IF('[1]Tablero de Control'!$B$22='[1]Tablero de Control'!$S$31,'[1]Financieros'!$C$146,0))),0)))/1000000*12</f>
        <v>1846.5181765969269</v>
      </c>
      <c r="L48" s="21">
        <f>IF('[1]Tablero de Control'!$B$7='[1]Tablero de Control'!$S$7,L47*(IF('[1]Tablero de Control'!$B$22='[1]Tablero de Control'!$S$30,'[1]Operadores'!$AB$10,IF('[1]Tablero de Control'!$B$22='[1]Tablero de Control'!$S$31,'[1]Financieros'!$C$146,0))),IF('[1]Tablero de Control'!$B$7='[1]Tablero de Control'!$S$8,L47*(IF('[1]Tablero de Control'!$B$22='[1]Tablero de Control'!$S$30,'[1]Operadores'!$AB$12,IF('[1]Tablero de Control'!$B$22='[1]Tablero de Control'!$S$31,'[1]Financieros'!$C$146,0))),IF('[1]Tablero de Control'!$B$7='[1]Tablero de Control'!$S$9,L47*(IF('[1]Tablero de Control'!$B$22='[1]Tablero de Control'!$S$30,'[1]Operadores'!$AB$13,IF('[1]Tablero de Control'!$B$22='[1]Tablero de Control'!$S$31,'[1]Financieros'!$C$146,0))),0)))/1000000*12</f>
        <v>1952.0209344960451</v>
      </c>
      <c r="M48" s="21">
        <f>IF('[1]Tablero de Control'!$B$7='[1]Tablero de Control'!$S$7,M47*(IF('[1]Tablero de Control'!$B$22='[1]Tablero de Control'!$S$30,'[1]Operadores'!$AB$10,IF('[1]Tablero de Control'!$B$22='[1]Tablero de Control'!$S$31,'[1]Financieros'!$C$146,0))),IF('[1]Tablero de Control'!$B$7='[1]Tablero de Control'!$S$8,M47*(IF('[1]Tablero de Control'!$B$22='[1]Tablero de Control'!$S$30,'[1]Operadores'!$AB$12,IF('[1]Tablero de Control'!$B$22='[1]Tablero de Control'!$S$31,'[1]Financieros'!$C$146,0))),IF('[1]Tablero de Control'!$B$7='[1]Tablero de Control'!$S$9,M47*(IF('[1]Tablero de Control'!$B$22='[1]Tablero de Control'!$S$30,'[1]Operadores'!$AB$13,IF('[1]Tablero de Control'!$B$22='[1]Tablero de Control'!$S$31,'[1]Financieros'!$C$146,0))),0)))/1000000*12</f>
        <v>2063.559368266448</v>
      </c>
    </row>
    <row r="49" spans="2:13" ht="15.75">
      <c r="B49" s="66" t="s">
        <v>236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2:13" ht="15.75">
      <c r="B50" s="67" t="s">
        <v>128</v>
      </c>
      <c r="C50" s="84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2:13" ht="15.75">
      <c r="B51" s="22" t="s">
        <v>67</v>
      </c>
      <c r="C51" s="21">
        <f>+Demanda!C19*1000000</f>
        <v>267802.24417975097</v>
      </c>
      <c r="D51" s="21">
        <f>+Demanda!D19*1000000</f>
        <v>278535.3431534851</v>
      </c>
      <c r="E51" s="21">
        <f>+Demanda!E19*1000000</f>
        <v>289698.7115002901</v>
      </c>
      <c r="F51" s="21">
        <f>+Demanda!F19*1000000</f>
        <v>301309.60253871477</v>
      </c>
      <c r="G51" s="21">
        <f>+Demanda!G19*1000000</f>
        <v>313385.9616345125</v>
      </c>
      <c r="H51" s="21">
        <f>+Demanda!H19*1000000</f>
        <v>325946.4539686804</v>
      </c>
      <c r="I51" s="21">
        <f>+Demanda!I19*1000000</f>
        <v>339010.49299993005</v>
      </c>
      <c r="J51" s="21">
        <f>+Demanda!J19*1000000</f>
        <v>352598.27173134213</v>
      </c>
      <c r="K51" s="21">
        <f>+Demanda!K19*1000000</f>
        <v>366730.7927671512</v>
      </c>
      <c r="L51" s="21">
        <f>+Demanda!L19*1000000</f>
        <v>381429.9012014905</v>
      </c>
      <c r="M51" s="21">
        <f>+Demanda!M19*1000000</f>
        <v>396718.3184253452</v>
      </c>
    </row>
    <row r="52" spans="2:13" ht="15.75">
      <c r="B52" s="22" t="s">
        <v>68</v>
      </c>
      <c r="C52" s="21">
        <f aca="true" t="shared" si="3" ref="C52:M52">C53+C54</f>
        <v>124</v>
      </c>
      <c r="D52" s="21">
        <f t="shared" si="3"/>
        <v>130.2</v>
      </c>
      <c r="E52" s="21">
        <f t="shared" si="3"/>
        <v>130.355</v>
      </c>
      <c r="F52" s="21">
        <f t="shared" si="3"/>
        <v>130.51</v>
      </c>
      <c r="G52" s="21">
        <f t="shared" si="3"/>
        <v>130.665</v>
      </c>
      <c r="H52" s="21">
        <f t="shared" si="3"/>
        <v>130.82</v>
      </c>
      <c r="I52" s="21">
        <f t="shared" si="3"/>
        <v>130.975</v>
      </c>
      <c r="J52" s="21">
        <f t="shared" si="3"/>
        <v>131.13</v>
      </c>
      <c r="K52" s="21">
        <f t="shared" si="3"/>
        <v>131.285</v>
      </c>
      <c r="L52" s="21">
        <f t="shared" si="3"/>
        <v>131.44</v>
      </c>
      <c r="M52" s="21">
        <f t="shared" si="3"/>
        <v>131.595</v>
      </c>
    </row>
    <row r="53" spans="2:13" ht="15.75">
      <c r="B53" s="49" t="s">
        <v>70</v>
      </c>
      <c r="C53" s="21">
        <f>IF('[1]Tablero de Control'!$B$7='[1]Tablero de Control'!$S$7,'[1]Opex'!$C$203,IF('[1]Tablero de Control'!$B$7='[1]Tablero de Control'!$S$8,'[1]Opex'!$C$207,IF('[1]Tablero de Control'!$B$7='[1]Tablero de Control'!$S$9,'[1]Opex'!$C$211,0)))</f>
        <v>124</v>
      </c>
      <c r="D53" s="21">
        <f>IF('[1]Tablero de Control'!$B$7='[1]Tablero de Control'!$S$7,'[1]Opex'!$C$203,IF('[1]Tablero de Control'!$B$7='[1]Tablero de Control'!$S$8,'[1]Opex'!$C$207,IF('[1]Tablero de Control'!$B$7='[1]Tablero de Control'!$S$9,'[1]Opex'!$C$211,0)))</f>
        <v>124</v>
      </c>
      <c r="E53" s="21">
        <f>IF('[1]Tablero de Control'!$B$7='[1]Tablero de Control'!$S$7,'[1]Opex'!$C$203,IF('[1]Tablero de Control'!$B$7='[1]Tablero de Control'!$S$8,'[1]Opex'!$C$207,IF('[1]Tablero de Control'!$B$7='[1]Tablero de Control'!$S$9,'[1]Opex'!$C$211,0)))</f>
        <v>124</v>
      </c>
      <c r="F53" s="21">
        <f>IF('[1]Tablero de Control'!$B$7='[1]Tablero de Control'!$S$7,'[1]Opex'!$C$203,IF('[1]Tablero de Control'!$B$7='[1]Tablero de Control'!$S$8,'[1]Opex'!$C$207,IF('[1]Tablero de Control'!$B$7='[1]Tablero de Control'!$S$9,'[1]Opex'!$C$211,0)))</f>
        <v>124</v>
      </c>
      <c r="G53" s="21">
        <f>IF('[1]Tablero de Control'!$B$7='[1]Tablero de Control'!$S$7,'[1]Opex'!$C$203,IF('[1]Tablero de Control'!$B$7='[1]Tablero de Control'!$S$8,'[1]Opex'!$C$207,IF('[1]Tablero de Control'!$B$7='[1]Tablero de Control'!$S$9,'[1]Opex'!$C$211,0)))</f>
        <v>124</v>
      </c>
      <c r="H53" s="21">
        <f>IF('[1]Tablero de Control'!$B$7='[1]Tablero de Control'!$S$7,'[1]Opex'!$C$203,IF('[1]Tablero de Control'!$B$7='[1]Tablero de Control'!$S$8,'[1]Opex'!$C$207,IF('[1]Tablero de Control'!$B$7='[1]Tablero de Control'!$S$9,'[1]Opex'!$C$211,0)))</f>
        <v>124</v>
      </c>
      <c r="I53" s="21">
        <f>IF('[1]Tablero de Control'!$B$7='[1]Tablero de Control'!$S$7,'[1]Opex'!$C$203,IF('[1]Tablero de Control'!$B$7='[1]Tablero de Control'!$S$8,'[1]Opex'!$C$207,IF('[1]Tablero de Control'!$B$7='[1]Tablero de Control'!$S$9,'[1]Opex'!$C$211,0)))</f>
        <v>124</v>
      </c>
      <c r="J53" s="21">
        <f>IF('[1]Tablero de Control'!$B$7='[1]Tablero de Control'!$S$7,'[1]Opex'!$C$203,IF('[1]Tablero de Control'!$B$7='[1]Tablero de Control'!$S$8,'[1]Opex'!$C$207,IF('[1]Tablero de Control'!$B$7='[1]Tablero de Control'!$S$9,'[1]Opex'!$C$211,0)))</f>
        <v>124</v>
      </c>
      <c r="K53" s="21">
        <f>IF('[1]Tablero de Control'!$B$7='[1]Tablero de Control'!$S$7,'[1]Opex'!$C$203,IF('[1]Tablero de Control'!$B$7='[1]Tablero de Control'!$S$8,'[1]Opex'!$C$207,IF('[1]Tablero de Control'!$B$7='[1]Tablero de Control'!$S$9,'[1]Opex'!$C$211,0)))</f>
        <v>124</v>
      </c>
      <c r="L53" s="21">
        <f>IF('[1]Tablero de Control'!$B$7='[1]Tablero de Control'!$S$7,'[1]Opex'!$C$203,IF('[1]Tablero de Control'!$B$7='[1]Tablero de Control'!$S$8,'[1]Opex'!$C$207,IF('[1]Tablero de Control'!$B$7='[1]Tablero de Control'!$S$9,'[1]Opex'!$C$211,0)))</f>
        <v>124</v>
      </c>
      <c r="M53" s="21">
        <f>IF('[1]Tablero de Control'!$B$7='[1]Tablero de Control'!$S$7,'[1]Opex'!$C$203,IF('[1]Tablero de Control'!$B$7='[1]Tablero de Control'!$S$8,'[1]Opex'!$C$207,IF('[1]Tablero de Control'!$B$7='[1]Tablero de Control'!$S$9,'[1]Opex'!$C$211,0)))</f>
        <v>124</v>
      </c>
    </row>
    <row r="54" spans="2:13" ht="15.75">
      <c r="B54" s="49" t="s">
        <v>71</v>
      </c>
      <c r="C54" s="21">
        <f>IF('[1]Tablero de Control'!$B$22='[1]Tablero de Control'!$S$30,0,IF('[1]Tablero de Control'!$B$22='[1]Tablero de Control'!$S$31,$C$44*'[1]Opex'!C214,0))</f>
        <v>0</v>
      </c>
      <c r="D54" s="21">
        <f>IF('[1]Tablero de Control'!$B$22='[1]Tablero de Control'!$S$30,0,IF('[1]Tablero de Control'!$B$22='[1]Tablero de Control'!$S$31,$C$53*'[1]Opex'!D214,0))</f>
        <v>6.2</v>
      </c>
      <c r="E54" s="21">
        <f>IF('[1]Tablero de Control'!$B$22='[1]Tablero de Control'!$S$30,0,IF('[1]Tablero de Control'!$B$22='[1]Tablero de Control'!$S$31,$C$53*'[1]Opex'!E214,0))</f>
        <v>6.3549999999999995</v>
      </c>
      <c r="F54" s="21">
        <f>IF('[1]Tablero de Control'!$B$22='[1]Tablero de Control'!$S$30,0,IF('[1]Tablero de Control'!$B$22='[1]Tablero de Control'!$S$31,$C$53*'[1]Opex'!F214,0))</f>
        <v>6.51</v>
      </c>
      <c r="G54" s="21">
        <f>IF('[1]Tablero de Control'!$B$22='[1]Tablero de Control'!$S$30,0,IF('[1]Tablero de Control'!$B$22='[1]Tablero de Control'!$S$31,$C$53*'[1]Opex'!G214,0))</f>
        <v>6.665</v>
      </c>
      <c r="H54" s="21">
        <f>IF('[1]Tablero de Control'!$B$22='[1]Tablero de Control'!$S$30,0,IF('[1]Tablero de Control'!$B$22='[1]Tablero de Control'!$S$31,$C$53*'[1]Opex'!H214,0))</f>
        <v>6.82</v>
      </c>
      <c r="I54" s="21">
        <f>IF('[1]Tablero de Control'!$B$22='[1]Tablero de Control'!$S$30,0,IF('[1]Tablero de Control'!$B$22='[1]Tablero de Control'!$S$31,$C$53*'[1]Opex'!I214,0))</f>
        <v>6.9750000000000005</v>
      </c>
      <c r="J54" s="21">
        <f>IF('[1]Tablero de Control'!$B$22='[1]Tablero de Control'!$S$30,0,IF('[1]Tablero de Control'!$B$22='[1]Tablero de Control'!$S$31,$C$53*'[1]Opex'!J214,0))</f>
        <v>7.13</v>
      </c>
      <c r="K54" s="21">
        <f>IF('[1]Tablero de Control'!$B$22='[1]Tablero de Control'!$S$30,0,IF('[1]Tablero de Control'!$B$22='[1]Tablero de Control'!$S$31,$C$53*'[1]Opex'!K214,0))</f>
        <v>7.284999999999999</v>
      </c>
      <c r="L54" s="21">
        <f>IF('[1]Tablero de Control'!$B$22='[1]Tablero de Control'!$S$30,0,IF('[1]Tablero de Control'!$B$22='[1]Tablero de Control'!$S$31,$C$53*'[1]Opex'!L214,0))</f>
        <v>7.4399999999999995</v>
      </c>
      <c r="M54" s="21">
        <f>IF('[1]Tablero de Control'!$B$22='[1]Tablero de Control'!$S$30,0,IF('[1]Tablero de Control'!$B$22='[1]Tablero de Control'!$S$31,$C$53*'[1]Opex'!M214,0))</f>
        <v>7.595</v>
      </c>
    </row>
    <row r="55" spans="2:13" ht="15.75">
      <c r="B55" s="22" t="s">
        <v>69</v>
      </c>
      <c r="C55" s="50">
        <f>IF('[1]Tablero de Control'!$B$22='[1]Tablero de Control'!$S$30,'[1]Opex'!$C$198,IF('[1]Tablero de Control'!$B$22='[1]Tablero de Control'!$S$31,'[1]Opex'!C215,0))</f>
        <v>0.8</v>
      </c>
      <c r="D55" s="50">
        <f>IF('[1]Tablero de Control'!$B$22='[1]Tablero de Control'!$S$30,'[1]Opex'!$C$198,IF('[1]Tablero de Control'!$B$22='[1]Tablero de Control'!$S$31,'[1]Opex'!D215,0))</f>
        <v>0.81</v>
      </c>
      <c r="E55" s="50">
        <f>IF('[1]Tablero de Control'!$B$22='[1]Tablero de Control'!$S$30,'[1]Opex'!$C$198,IF('[1]Tablero de Control'!$B$22='[1]Tablero de Control'!$S$31,'[1]Opex'!E215,0))</f>
        <v>0.81125</v>
      </c>
      <c r="F55" s="50">
        <f>IF('[1]Tablero de Control'!$B$22='[1]Tablero de Control'!$S$30,'[1]Opex'!$C$198,IF('[1]Tablero de Control'!$B$22='[1]Tablero de Control'!$S$31,'[1]Opex'!F215,0))</f>
        <v>0.8125</v>
      </c>
      <c r="G55" s="50">
        <f>IF('[1]Tablero de Control'!$B$22='[1]Tablero de Control'!$S$30,'[1]Opex'!$C$198,IF('[1]Tablero de Control'!$B$22='[1]Tablero de Control'!$S$31,'[1]Opex'!G215,0))</f>
        <v>0.81375</v>
      </c>
      <c r="H55" s="50">
        <f>IF('[1]Tablero de Control'!$B$22='[1]Tablero de Control'!$S$30,'[1]Opex'!$C$198,IF('[1]Tablero de Control'!$B$22='[1]Tablero de Control'!$S$31,'[1]Opex'!H215,0))</f>
        <v>0.815</v>
      </c>
      <c r="I55" s="50">
        <f>IF('[1]Tablero de Control'!$B$22='[1]Tablero de Control'!$S$30,'[1]Opex'!$C$198,IF('[1]Tablero de Control'!$B$22='[1]Tablero de Control'!$S$31,'[1]Opex'!I215,0))</f>
        <v>0.81625</v>
      </c>
      <c r="J55" s="50">
        <f>IF('[1]Tablero de Control'!$B$22='[1]Tablero de Control'!$S$30,'[1]Opex'!$C$198,IF('[1]Tablero de Control'!$B$22='[1]Tablero de Control'!$S$31,'[1]Opex'!J215,0))</f>
        <v>0.8175</v>
      </c>
      <c r="K55" s="50">
        <f>IF('[1]Tablero de Control'!$B$22='[1]Tablero de Control'!$S$30,'[1]Opex'!$C$198,IF('[1]Tablero de Control'!$B$22='[1]Tablero de Control'!$S$31,'[1]Opex'!K215,0))</f>
        <v>0.81875</v>
      </c>
      <c r="L55" s="50">
        <f>IF('[1]Tablero de Control'!$B$22='[1]Tablero de Control'!$S$30,'[1]Opex'!$C$198,IF('[1]Tablero de Control'!$B$22='[1]Tablero de Control'!$S$31,'[1]Opex'!L215,0))</f>
        <v>0.82</v>
      </c>
      <c r="M55" s="50">
        <f>IF('[1]Tablero de Control'!$B$22='[1]Tablero de Control'!$S$30,'[1]Opex'!$C$198,IF('[1]Tablero de Control'!$B$22='[1]Tablero de Control'!$S$31,'[1]Opex'!M215,0))</f>
        <v>0.82125</v>
      </c>
    </row>
    <row r="56" spans="2:13" ht="15.75">
      <c r="B56" s="22" t="s">
        <v>15</v>
      </c>
      <c r="C56" s="21">
        <f>+C51/((C52*'[1]Opex'!$C$195*'[1]Opex'!$C$196*(1-'[1]Opex'!$C$197)*C55)*12)</f>
        <v>1.3519728550547356</v>
      </c>
      <c r="D56" s="21">
        <f>+D51/((D52*'[1]Opex'!$C$195*'[1]Opex'!$C$196*(1-'[1]Opex'!$C$197)*D55)*12)</f>
        <v>1.32266462752327</v>
      </c>
      <c r="E56" s="21">
        <f>+E51/((E52*'[1]Opex'!$C$195*'[1]Opex'!$C$196*(1-'[1]Opex'!$C$197)*E55)*12)</f>
        <v>1.371922541287896</v>
      </c>
      <c r="F56" s="21">
        <f>+F51/((F52*'[1]Opex'!$C$195*'[1]Opex'!$C$196*(1-'[1]Opex'!$C$197)*F55)*12)</f>
        <v>1.4230207905860497</v>
      </c>
      <c r="G56" s="21">
        <f>+G51/((G52*'[1]Opex'!$C$195*'[1]Opex'!$C$196*(1-'[1]Opex'!$C$197)*G55)*12)</f>
        <v>1.4760283384451403</v>
      </c>
      <c r="H56" s="21">
        <f>+H51/((H52*'[1]Opex'!$C$195*'[1]Opex'!$C$196*(1-'[1]Opex'!$C$197)*H55)*12)</f>
        <v>1.53101673941138</v>
      </c>
      <c r="I56" s="21">
        <f>+I51/((I52*'[1]Opex'!$C$195*'[1]Opex'!$C$196*(1-'[1]Opex'!$C$197)*I55)*12)</f>
        <v>1.5880602352255795</v>
      </c>
      <c r="J56" s="21">
        <f>+J51/((J52*'[1]Opex'!$C$195*'[1]Opex'!$C$196*(1-'[1]Opex'!$C$197)*J55)*12)</f>
        <v>1.6472358619034817</v>
      </c>
      <c r="K56" s="21">
        <f>+K51/((K52*'[1]Opex'!$C$195*'[1]Opex'!$C$196*(1-'[1]Opex'!$C$197)*K55)*12)</f>
        <v>1.7086235492956485</v>
      </c>
      <c r="L56" s="21">
        <f>+L51/((L52*'[1]Opex'!$C$195*'[1]Opex'!$C$196*(1-'[1]Opex'!$C$197)*L55)*12)</f>
        <v>1.7723062320413312</v>
      </c>
      <c r="M56" s="21">
        <f>+M51/((M52*'[1]Opex'!$C$195*'[1]Opex'!$C$196*(1-'[1]Opex'!$C$197)*M55)*12)</f>
        <v>1.8383699628254195</v>
      </c>
    </row>
    <row r="57" spans="2:13" ht="15.75">
      <c r="B57" s="22" t="s">
        <v>14</v>
      </c>
      <c r="C57" s="21">
        <f>IF('[1]Tablero de Control'!$B$7='[1]Tablero de Control'!$S$7,C56*(IF('[1]Tablero de Control'!$B$22='[1]Tablero de Control'!$S$30,'[1]Operadores'!$AB$10,IF('[1]Tablero de Control'!$B$22='[1]Tablero de Control'!$S$31,'[1]Financieros'!$C$146,0))),IF('[1]Tablero de Control'!$B$7='[1]Tablero de Control'!$S$8,C56*(IF('[1]Tablero de Control'!$B$22='[1]Tablero de Control'!$S$30,'[1]Operadores'!$AB$12,IF('[1]Tablero de Control'!$B$22='[1]Tablero de Control'!$S$31,'[1]Financieros'!$C$146,0))),IF('[1]Tablero de Control'!$B$7='[1]Tablero de Control'!$S$9,C56*(IF('[1]Tablero de Control'!$B$22='[1]Tablero de Control'!$S$30,'[1]Operadores'!$AB$13,IF('[1]Tablero de Control'!$B$22='[1]Tablero de Control'!$S$31,'[1]Financieros'!$C$146,0))),0)))/1000000*12</f>
        <v>14.310010763241053</v>
      </c>
      <c r="D57" s="21">
        <f>IF('[1]Tablero de Control'!$B$7='[1]Tablero de Control'!$S$7,D56*(IF('[1]Tablero de Control'!$B$22='[1]Tablero de Control'!$S$30,'[1]Operadores'!$AB$10,IF('[1]Tablero de Control'!$B$22='[1]Tablero de Control'!$S$31,'[1]Financieros'!$C$146,0))),IF('[1]Tablero de Control'!$B$7='[1]Tablero de Control'!$S$8,D56*(IF('[1]Tablero de Control'!$B$22='[1]Tablero de Control'!$S$30,'[1]Operadores'!$AB$12,IF('[1]Tablero de Control'!$B$22='[1]Tablero de Control'!$S$31,'[1]Financieros'!$C$146,0))),IF('[1]Tablero de Control'!$B$7='[1]Tablero de Control'!$S$9,D56*(IF('[1]Tablero de Control'!$B$22='[1]Tablero de Control'!$S$30,'[1]Operadores'!$AB$13,IF('[1]Tablero de Control'!$B$22='[1]Tablero de Control'!$S$31,'[1]Financieros'!$C$146,0))),0)))/1000000*12</f>
        <v>13.999796656605152</v>
      </c>
      <c r="E57" s="21">
        <f>IF('[1]Tablero de Control'!$B$7='[1]Tablero de Control'!$S$7,E56*(IF('[1]Tablero de Control'!$B$22='[1]Tablero de Control'!$S$30,'[1]Operadores'!$AB$10,IF('[1]Tablero de Control'!$B$22='[1]Tablero de Control'!$S$31,'[1]Financieros'!$C$146,0))),IF('[1]Tablero de Control'!$B$7='[1]Tablero de Control'!$S$8,E56*(IF('[1]Tablero de Control'!$B$22='[1]Tablero de Control'!$S$30,'[1]Operadores'!$AB$12,IF('[1]Tablero de Control'!$B$22='[1]Tablero de Control'!$S$31,'[1]Financieros'!$C$146,0))),IF('[1]Tablero de Control'!$B$7='[1]Tablero de Control'!$S$9,E56*(IF('[1]Tablero de Control'!$B$22='[1]Tablero de Control'!$S$30,'[1]Operadores'!$AB$13,IF('[1]Tablero de Control'!$B$22='[1]Tablero de Control'!$S$31,'[1]Financieros'!$C$146,0))),0)))/1000000*12</f>
        <v>14.521169015163386</v>
      </c>
      <c r="F57" s="21">
        <f>IF('[1]Tablero de Control'!$B$7='[1]Tablero de Control'!$S$7,F56*(IF('[1]Tablero de Control'!$B$22='[1]Tablero de Control'!$S$30,'[1]Operadores'!$AB$10,IF('[1]Tablero de Control'!$B$22='[1]Tablero de Control'!$S$31,'[1]Financieros'!$C$146,0))),IF('[1]Tablero de Control'!$B$7='[1]Tablero de Control'!$S$8,F56*(IF('[1]Tablero de Control'!$B$22='[1]Tablero de Control'!$S$30,'[1]Operadores'!$AB$12,IF('[1]Tablero de Control'!$B$22='[1]Tablero de Control'!$S$31,'[1]Financieros'!$C$146,0))),IF('[1]Tablero de Control'!$B$7='[1]Tablero de Control'!$S$9,F56*(IF('[1]Tablero de Control'!$B$22='[1]Tablero de Control'!$S$30,'[1]Operadores'!$AB$13,IF('[1]Tablero de Control'!$B$22='[1]Tablero de Control'!$S$31,'[1]Financieros'!$C$146,0))),0)))/1000000*12</f>
        <v>15.062020478789668</v>
      </c>
      <c r="G57" s="21">
        <f>IF('[1]Tablero de Control'!$B$7='[1]Tablero de Control'!$S$7,G56*(IF('[1]Tablero de Control'!$B$22='[1]Tablero de Control'!$S$30,'[1]Operadores'!$AB$10,IF('[1]Tablero de Control'!$B$22='[1]Tablero de Control'!$S$31,'[1]Financieros'!$C$146,0))),IF('[1]Tablero de Control'!$B$7='[1]Tablero de Control'!$S$8,G56*(IF('[1]Tablero de Control'!$B$22='[1]Tablero de Control'!$S$30,'[1]Operadores'!$AB$12,IF('[1]Tablero de Control'!$B$22='[1]Tablero de Control'!$S$31,'[1]Financieros'!$C$146,0))),IF('[1]Tablero de Control'!$B$7='[1]Tablero de Control'!$S$9,G56*(IF('[1]Tablero de Control'!$B$22='[1]Tablero de Control'!$S$30,'[1]Operadores'!$AB$13,IF('[1]Tablero de Control'!$B$22='[1]Tablero de Control'!$S$31,'[1]Financieros'!$C$146,0))),0)))/1000000*12</f>
        <v>15.623080989406125</v>
      </c>
      <c r="H57" s="21">
        <f>IF('[1]Tablero de Control'!$B$7='[1]Tablero de Control'!$S$7,H56*(IF('[1]Tablero de Control'!$B$22='[1]Tablero de Control'!$S$30,'[1]Operadores'!$AB$10,IF('[1]Tablero de Control'!$B$22='[1]Tablero de Control'!$S$31,'[1]Financieros'!$C$146,0))),IF('[1]Tablero de Control'!$B$7='[1]Tablero de Control'!$S$8,H56*(IF('[1]Tablero de Control'!$B$22='[1]Tablero de Control'!$S$30,'[1]Operadores'!$AB$12,IF('[1]Tablero de Control'!$B$22='[1]Tablero de Control'!$S$31,'[1]Financieros'!$C$146,0))),IF('[1]Tablero de Control'!$B$7='[1]Tablero de Control'!$S$9,H56*(IF('[1]Tablero de Control'!$B$22='[1]Tablero de Control'!$S$30,'[1]Operadores'!$AB$13,IF('[1]Tablero de Control'!$B$22='[1]Tablero de Control'!$S$31,'[1]Financieros'!$C$146,0))),0)))/1000000*12</f>
        <v>16.20510791896933</v>
      </c>
      <c r="I57" s="21">
        <f>IF('[1]Tablero de Control'!$B$7='[1]Tablero de Control'!$S$7,I56*(IF('[1]Tablero de Control'!$B$22='[1]Tablero de Control'!$S$30,'[1]Operadores'!$AB$10,IF('[1]Tablero de Control'!$B$22='[1]Tablero de Control'!$S$31,'[1]Financieros'!$C$146,0))),IF('[1]Tablero de Control'!$B$7='[1]Tablero de Control'!$S$8,I56*(IF('[1]Tablero de Control'!$B$22='[1]Tablero de Control'!$S$30,'[1]Operadores'!$AB$12,IF('[1]Tablero de Control'!$B$22='[1]Tablero de Control'!$S$31,'[1]Financieros'!$C$146,0))),IF('[1]Tablero de Control'!$B$7='[1]Tablero de Control'!$S$9,I56*(IF('[1]Tablero de Control'!$B$22='[1]Tablero de Control'!$S$30,'[1]Operadores'!$AB$13,IF('[1]Tablero de Control'!$B$22='[1]Tablero de Control'!$S$31,'[1]Financieros'!$C$146,0))),0)))/1000000*12</f>
        <v>16.808887082154556</v>
      </c>
      <c r="J57" s="21">
        <f>IF('[1]Tablero de Control'!$B$7='[1]Tablero de Control'!$S$7,J56*(IF('[1]Tablero de Control'!$B$22='[1]Tablero de Control'!$S$30,'[1]Operadores'!$AB$10,IF('[1]Tablero de Control'!$B$22='[1]Tablero de Control'!$S$31,'[1]Financieros'!$C$146,0))),IF('[1]Tablero de Control'!$B$7='[1]Tablero de Control'!$S$8,J56*(IF('[1]Tablero de Control'!$B$22='[1]Tablero de Control'!$S$30,'[1]Operadores'!$AB$12,IF('[1]Tablero de Control'!$B$22='[1]Tablero de Control'!$S$31,'[1]Financieros'!$C$146,0))),IF('[1]Tablero de Control'!$B$7='[1]Tablero de Control'!$S$9,J56*(IF('[1]Tablero de Control'!$B$22='[1]Tablero de Control'!$S$30,'[1]Operadores'!$AB$13,IF('[1]Tablero de Control'!$B$22='[1]Tablero de Control'!$S$31,'[1]Financieros'!$C$146,0))),0)))/1000000*12</f>
        <v>17.43523386975188</v>
      </c>
      <c r="K57" s="21">
        <f>IF('[1]Tablero de Control'!$B$7='[1]Tablero de Control'!$S$7,K56*(IF('[1]Tablero de Control'!$B$22='[1]Tablero de Control'!$S$30,'[1]Operadores'!$AB$10,IF('[1]Tablero de Control'!$B$22='[1]Tablero de Control'!$S$31,'[1]Financieros'!$C$146,0))),IF('[1]Tablero de Control'!$B$7='[1]Tablero de Control'!$S$8,K56*(IF('[1]Tablero de Control'!$B$22='[1]Tablero de Control'!$S$30,'[1]Operadores'!$AB$12,IF('[1]Tablero de Control'!$B$22='[1]Tablero de Control'!$S$31,'[1]Financieros'!$C$146,0))),IF('[1]Tablero de Control'!$B$7='[1]Tablero de Control'!$S$9,K56*(IF('[1]Tablero de Control'!$B$22='[1]Tablero de Control'!$S$30,'[1]Operadores'!$AB$13,IF('[1]Tablero de Control'!$B$22='[1]Tablero de Control'!$S$31,'[1]Financieros'!$C$146,0))),0)))/1000000*12</f>
        <v>18.084994302461766</v>
      </c>
      <c r="L57" s="21">
        <f>IF('[1]Tablero de Control'!$B$7='[1]Tablero de Control'!$S$7,L56*(IF('[1]Tablero de Control'!$B$22='[1]Tablero de Control'!$S$30,'[1]Operadores'!$AB$10,IF('[1]Tablero de Control'!$B$22='[1]Tablero de Control'!$S$31,'[1]Financieros'!$C$146,0))),IF('[1]Tablero de Control'!$B$7='[1]Tablero de Control'!$S$8,L56*(IF('[1]Tablero de Control'!$B$22='[1]Tablero de Control'!$S$30,'[1]Operadores'!$AB$12,IF('[1]Tablero de Control'!$B$22='[1]Tablero de Control'!$S$31,'[1]Financieros'!$C$146,0))),IF('[1]Tablero de Control'!$B$7='[1]Tablero de Control'!$S$9,L56*(IF('[1]Tablero de Control'!$B$22='[1]Tablero de Control'!$S$30,'[1]Operadores'!$AB$13,IF('[1]Tablero de Control'!$B$22='[1]Tablero de Control'!$S$31,'[1]Financieros'!$C$146,0))),0)))/1000000*12</f>
        <v>18.75904620529075</v>
      </c>
      <c r="M57" s="21">
        <f>IF('[1]Tablero de Control'!$B$7='[1]Tablero de Control'!$S$7,M56*(IF('[1]Tablero de Control'!$B$22='[1]Tablero de Control'!$S$30,'[1]Operadores'!$AB$10,IF('[1]Tablero de Control'!$B$22='[1]Tablero de Control'!$S$31,'[1]Financieros'!$C$146,0))),IF('[1]Tablero de Control'!$B$7='[1]Tablero de Control'!$S$8,M56*(IF('[1]Tablero de Control'!$B$22='[1]Tablero de Control'!$S$30,'[1]Operadores'!$AB$12,IF('[1]Tablero de Control'!$B$22='[1]Tablero de Control'!$S$31,'[1]Financieros'!$C$146,0))),IF('[1]Tablero de Control'!$B$7='[1]Tablero de Control'!$S$9,M56*(IF('[1]Tablero de Control'!$B$22='[1]Tablero de Control'!$S$30,'[1]Operadores'!$AB$13,IF('[1]Tablero de Control'!$B$22='[1]Tablero de Control'!$S$31,'[1]Financieros'!$C$146,0))),0)))/1000000*12</f>
        <v>19.458300406324167</v>
      </c>
    </row>
    <row r="58" spans="2:13" ht="15.75">
      <c r="B58" s="66" t="s">
        <v>133</v>
      </c>
      <c r="C58" s="84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2:13" ht="15.75">
      <c r="B59" s="22" t="s">
        <v>15</v>
      </c>
      <c r="C59" s="21">
        <f aca="true" t="shared" si="4" ref="C59:M59">+C47+C56</f>
        <v>119.95326631549035</v>
      </c>
      <c r="D59" s="21">
        <f t="shared" si="4"/>
        <v>119.57533585827717</v>
      </c>
      <c r="E59" s="21">
        <f t="shared" si="4"/>
        <v>126.37779760584037</v>
      </c>
      <c r="F59" s="21">
        <f t="shared" si="4"/>
        <v>133.56826395252872</v>
      </c>
      <c r="G59" s="21">
        <f t="shared" si="4"/>
        <v>141.16891271980148</v>
      </c>
      <c r="H59" s="21">
        <f t="shared" si="4"/>
        <v>149.2031915756046</v>
      </c>
      <c r="I59" s="21">
        <f t="shared" si="4"/>
        <v>157.69589077776678</v>
      </c>
      <c r="J59" s="21">
        <f t="shared" si="4"/>
        <v>166.6732203769905</v>
      </c>
      <c r="K59" s="21">
        <f t="shared" si="4"/>
        <v>176.16289143405277</v>
      </c>
      <c r="L59" s="21">
        <f t="shared" si="4"/>
        <v>186.1942021761301</v>
      </c>
      <c r="M59" s="21">
        <f t="shared" si="4"/>
        <v>196.79812903279426</v>
      </c>
    </row>
    <row r="60" spans="2:13" ht="15.75">
      <c r="B60" s="22" t="s">
        <v>14</v>
      </c>
      <c r="C60" s="21">
        <f>+C48+C57</f>
        <v>1269.6501454469603</v>
      </c>
      <c r="D60" s="21">
        <f aca="true" t="shared" si="5" ref="D60:M60">+D48+D57</f>
        <v>1265.6499254053692</v>
      </c>
      <c r="E60" s="21">
        <f t="shared" si="5"/>
        <v>1337.6508538709215</v>
      </c>
      <c r="F60" s="21">
        <f t="shared" si="5"/>
        <v>1413.7586325360985</v>
      </c>
      <c r="G60" s="21">
        <f t="shared" si="5"/>
        <v>1494.2080034392477</v>
      </c>
      <c r="H60" s="21">
        <f t="shared" si="5"/>
        <v>1579.2471493596497</v>
      </c>
      <c r="I60" s="21">
        <f t="shared" si="5"/>
        <v>1669.1384637729036</v>
      </c>
      <c r="J60" s="21">
        <f t="shared" si="5"/>
        <v>1764.1593680090712</v>
      </c>
      <c r="K60" s="21">
        <f t="shared" si="5"/>
        <v>1864.6031708993887</v>
      </c>
      <c r="L60" s="21">
        <f t="shared" si="5"/>
        <v>1970.779980701336</v>
      </c>
      <c r="M60" s="21">
        <f t="shared" si="5"/>
        <v>2083.0176686727723</v>
      </c>
    </row>
    <row r="61" spans="2:13" ht="15.75">
      <c r="B61" s="66" t="s">
        <v>138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2:13" ht="15.75">
      <c r="B62" s="22" t="s">
        <v>15</v>
      </c>
      <c r="C62" s="21">
        <f>('[1]Opex'!$C$223+'[1]Opex'!$C$224)*'[1]Opex'!$C$225</f>
        <v>14</v>
      </c>
      <c r="D62" s="21">
        <f>('[1]Opex'!$C$223+'[1]Opex'!$C$224)*'[1]Opex'!$C$225</f>
        <v>14</v>
      </c>
      <c r="E62" s="21">
        <f>('[1]Opex'!$C$223+'[1]Opex'!$C$224)*'[1]Opex'!$C$225</f>
        <v>14</v>
      </c>
      <c r="F62" s="21">
        <f>('[1]Opex'!$C$223+'[1]Opex'!$C$224)*'[1]Opex'!$C$225</f>
        <v>14</v>
      </c>
      <c r="G62" s="21">
        <f>('[1]Opex'!$C$223+'[1]Opex'!$C$224)*'[1]Opex'!$C$225</f>
        <v>14</v>
      </c>
      <c r="H62" s="21">
        <f>('[1]Opex'!$C$223+'[1]Opex'!$C$224)*'[1]Opex'!$C$225</f>
        <v>14</v>
      </c>
      <c r="I62" s="21">
        <f>('[1]Opex'!$C$223+'[1]Opex'!$C$224)*'[1]Opex'!$C$225</f>
        <v>14</v>
      </c>
      <c r="J62" s="21">
        <f>('[1]Opex'!$C$223+'[1]Opex'!$C$224)*'[1]Opex'!$C$225</f>
        <v>14</v>
      </c>
      <c r="K62" s="21">
        <f>('[1]Opex'!$C$223+'[1]Opex'!$C$224)*'[1]Opex'!$C$225</f>
        <v>14</v>
      </c>
      <c r="L62" s="21">
        <f>('[1]Opex'!$C$223+'[1]Opex'!$C$224)*'[1]Opex'!$C$225</f>
        <v>14</v>
      </c>
      <c r="M62" s="21">
        <f>('[1]Opex'!$C$223+'[1]Opex'!$C$224)*'[1]Opex'!$C$225</f>
        <v>14</v>
      </c>
    </row>
    <row r="63" spans="2:13" ht="15.75">
      <c r="B63" s="22" t="s">
        <v>14</v>
      </c>
      <c r="C63" s="21">
        <f>('[1]Opex'!$C$223*'[1]Opex'!$D$223+'[1]Opex'!$C$224*'[1]Opex'!$D$224)*'[1]Opex'!$C$225*12/1000000</f>
        <v>209.03778</v>
      </c>
      <c r="D63" s="21">
        <f>('[1]Opex'!$C$223*'[1]Opex'!$D$223+'[1]Opex'!$C$224*'[1]Opex'!$D$224)*'[1]Opex'!$C$225*12/1000000</f>
        <v>209.03778</v>
      </c>
      <c r="E63" s="21">
        <f>('[1]Opex'!$C$223*'[1]Opex'!$D$223+'[1]Opex'!$C$224*'[1]Opex'!$D$224)*'[1]Opex'!$C$225*12/1000000</f>
        <v>209.03778</v>
      </c>
      <c r="F63" s="21">
        <f>('[1]Opex'!$C$223*'[1]Opex'!$D$223+'[1]Opex'!$C$224*'[1]Opex'!$D$224)*'[1]Opex'!$C$225*12/1000000</f>
        <v>209.03778</v>
      </c>
      <c r="G63" s="21">
        <f>('[1]Opex'!$C$223*'[1]Opex'!$D$223+'[1]Opex'!$C$224*'[1]Opex'!$D$224)*'[1]Opex'!$C$225*12/1000000</f>
        <v>209.03778</v>
      </c>
      <c r="H63" s="21">
        <f>('[1]Opex'!$C$223*'[1]Opex'!$D$223+'[1]Opex'!$C$224*'[1]Opex'!$D$224)*'[1]Opex'!$C$225*12/1000000</f>
        <v>209.03778</v>
      </c>
      <c r="I63" s="21">
        <f>('[1]Opex'!$C$223*'[1]Opex'!$D$223+'[1]Opex'!$C$224*'[1]Opex'!$D$224)*'[1]Opex'!$C$225*12/1000000</f>
        <v>209.03778</v>
      </c>
      <c r="J63" s="21">
        <f>('[1]Opex'!$C$223*'[1]Opex'!$D$223+'[1]Opex'!$C$224*'[1]Opex'!$D$224)*'[1]Opex'!$C$225*12/1000000</f>
        <v>209.03778</v>
      </c>
      <c r="K63" s="21">
        <f>('[1]Opex'!$C$223*'[1]Opex'!$D$223+'[1]Opex'!$C$224*'[1]Opex'!$D$224)*'[1]Opex'!$C$225*12/1000000</f>
        <v>209.03778</v>
      </c>
      <c r="L63" s="21">
        <f>('[1]Opex'!$C$223*'[1]Opex'!$D$223+'[1]Opex'!$C$224*'[1]Opex'!$D$224)*'[1]Opex'!$C$225*12/1000000</f>
        <v>209.03778</v>
      </c>
      <c r="M63" s="21">
        <f>('[1]Opex'!$C$223*'[1]Opex'!$D$223+'[1]Opex'!$C$224*'[1]Opex'!$D$224)*'[1]Opex'!$C$225*12/1000000</f>
        <v>209.03778</v>
      </c>
    </row>
    <row r="64" spans="2:13" ht="15.75">
      <c r="B64" s="66" t="s">
        <v>132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2:13" ht="15.75">
      <c r="B65" s="22" t="s">
        <v>15</v>
      </c>
      <c r="C65" s="21">
        <f aca="true" t="shared" si="6" ref="C65:M65">+C59+C62</f>
        <v>133.95326631549034</v>
      </c>
      <c r="D65" s="21">
        <f t="shared" si="6"/>
        <v>133.57533585827719</v>
      </c>
      <c r="E65" s="21">
        <f t="shared" si="6"/>
        <v>140.37779760584039</v>
      </c>
      <c r="F65" s="21">
        <f t="shared" si="6"/>
        <v>147.56826395252872</v>
      </c>
      <c r="G65" s="21">
        <f t="shared" si="6"/>
        <v>155.16891271980148</v>
      </c>
      <c r="H65" s="21">
        <f t="shared" si="6"/>
        <v>163.2031915756046</v>
      </c>
      <c r="I65" s="21">
        <f t="shared" si="6"/>
        <v>171.69589077776678</v>
      </c>
      <c r="J65" s="21">
        <f t="shared" si="6"/>
        <v>180.6732203769905</v>
      </c>
      <c r="K65" s="21">
        <f t="shared" si="6"/>
        <v>190.16289143405277</v>
      </c>
      <c r="L65" s="21">
        <f t="shared" si="6"/>
        <v>200.1942021761301</v>
      </c>
      <c r="M65" s="21">
        <f t="shared" si="6"/>
        <v>210.79812903279426</v>
      </c>
    </row>
    <row r="66" spans="2:13" ht="15.75">
      <c r="B66" s="22" t="s">
        <v>140</v>
      </c>
      <c r="C66" s="21">
        <f>+C60+C63</f>
        <v>1478.6879254469604</v>
      </c>
      <c r="D66" s="21">
        <f aca="true" t="shared" si="7" ref="D66:M66">+D60+D63</f>
        <v>1474.6877054053693</v>
      </c>
      <c r="E66" s="21">
        <f t="shared" si="7"/>
        <v>1546.6886338709214</v>
      </c>
      <c r="F66" s="21">
        <f t="shared" si="7"/>
        <v>1622.7964125360986</v>
      </c>
      <c r="G66" s="21">
        <f t="shared" si="7"/>
        <v>1703.2457834392476</v>
      </c>
      <c r="H66" s="21">
        <f t="shared" si="7"/>
        <v>1788.2849293596496</v>
      </c>
      <c r="I66" s="21">
        <f t="shared" si="7"/>
        <v>1878.1762437729035</v>
      </c>
      <c r="J66" s="21">
        <f t="shared" si="7"/>
        <v>1973.197148009071</v>
      </c>
      <c r="K66" s="21">
        <f t="shared" si="7"/>
        <v>2073.640950899389</v>
      </c>
      <c r="L66" s="21">
        <f t="shared" si="7"/>
        <v>2179.817760701336</v>
      </c>
      <c r="M66" s="21">
        <f t="shared" si="7"/>
        <v>2292.0554486727724</v>
      </c>
    </row>
    <row r="67" spans="2:13" ht="15.75">
      <c r="B67" s="22" t="s">
        <v>130</v>
      </c>
      <c r="C67" s="21">
        <f>IF('[1]Tablero de Control'!$B$7='[1]Tablero de Control'!$S$7,0,IF('[1]Tablero de Control'!$B$7='[1]Tablero de Control'!$S$8,Clasificación!$E$23,IF('[1]Tablero de Control'!$B$7='[1]Tablero de Control'!$S$9,Clasificación!$E$23,0)))/1000000*12</f>
        <v>0</v>
      </c>
      <c r="D67" s="21">
        <f>IF('[1]Tablero de Control'!$B$7='[1]Tablero de Control'!$S$7,0,IF('[1]Tablero de Control'!$B$7='[1]Tablero de Control'!$S$8,Clasificación!$E$23,IF('[1]Tablero de Control'!$B$7='[1]Tablero de Control'!$S$9,Clasificación!$E$23,0)))/1000000*12</f>
        <v>0</v>
      </c>
      <c r="E67" s="21">
        <f>IF('[1]Tablero de Control'!$B$7='[1]Tablero de Control'!$S$7,0,IF('[1]Tablero de Control'!$B$7='[1]Tablero de Control'!$S$8,Clasificación!$E$23,IF('[1]Tablero de Control'!$B$7='[1]Tablero de Control'!$S$9,Clasificación!$E$23,0)))/1000000*12</f>
        <v>0</v>
      </c>
      <c r="F67" s="21">
        <f>IF('[1]Tablero de Control'!$B$7='[1]Tablero de Control'!$S$7,0,IF('[1]Tablero de Control'!$B$7='[1]Tablero de Control'!$S$8,Clasificación!$E$23,IF('[1]Tablero de Control'!$B$7='[1]Tablero de Control'!$S$9,Clasificación!$E$23,0)))/1000000*12</f>
        <v>0</v>
      </c>
      <c r="G67" s="21">
        <f>IF('[1]Tablero de Control'!$B$7='[1]Tablero de Control'!$S$7,0,IF('[1]Tablero de Control'!$B$7='[1]Tablero de Control'!$S$8,Clasificación!$E$23,IF('[1]Tablero de Control'!$B$7='[1]Tablero de Control'!$S$9,Clasificación!$E$23,0)))/1000000*12</f>
        <v>0</v>
      </c>
      <c r="H67" s="21">
        <f>IF('[1]Tablero de Control'!$B$7='[1]Tablero de Control'!$S$7,0,IF('[1]Tablero de Control'!$B$7='[1]Tablero de Control'!$S$8,Clasificación!$E$23,IF('[1]Tablero de Control'!$B$7='[1]Tablero de Control'!$S$9,Clasificación!$E$23,0)))/1000000*12</f>
        <v>0</v>
      </c>
      <c r="I67" s="21">
        <f>IF('[1]Tablero de Control'!$B$7='[1]Tablero de Control'!$S$7,0,IF('[1]Tablero de Control'!$B$7='[1]Tablero de Control'!$S$8,Clasificación!$E$23,IF('[1]Tablero de Control'!$B$7='[1]Tablero de Control'!$S$9,Clasificación!$E$23,0)))/1000000*12</f>
        <v>0</v>
      </c>
      <c r="J67" s="21">
        <f>IF('[1]Tablero de Control'!$B$7='[1]Tablero de Control'!$S$7,0,IF('[1]Tablero de Control'!$B$7='[1]Tablero de Control'!$S$8,Clasificación!$E$23,IF('[1]Tablero de Control'!$B$7='[1]Tablero de Control'!$S$9,Clasificación!$E$23,0)))/1000000*12</f>
        <v>0</v>
      </c>
      <c r="K67" s="21">
        <f>IF('[1]Tablero de Control'!$B$7='[1]Tablero de Control'!$S$7,0,IF('[1]Tablero de Control'!$B$7='[1]Tablero de Control'!$S$8,Clasificación!$E$23,IF('[1]Tablero de Control'!$B$7='[1]Tablero de Control'!$S$9,Clasificación!$E$23,0)))/1000000*12</f>
        <v>0</v>
      </c>
      <c r="L67" s="21">
        <f>IF('[1]Tablero de Control'!$B$7='[1]Tablero de Control'!$S$7,0,IF('[1]Tablero de Control'!$B$7='[1]Tablero de Control'!$S$8,Clasificación!$E$23,IF('[1]Tablero de Control'!$B$7='[1]Tablero de Control'!$S$9,Clasificación!$E$23,0)))/1000000*12</f>
        <v>0</v>
      </c>
      <c r="M67" s="21">
        <f>IF('[1]Tablero de Control'!$B$7='[1]Tablero de Control'!$S$7,0,IF('[1]Tablero de Control'!$B$7='[1]Tablero de Control'!$S$8,Clasificación!$E$23,IF('[1]Tablero de Control'!$B$7='[1]Tablero de Control'!$S$9,Clasificación!$E$23,0)))/1000000*12</f>
        <v>0</v>
      </c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E17 E2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B12" sqref="B12"/>
    </sheetView>
  </sheetViews>
  <sheetFormatPr defaultColWidth="11.421875" defaultRowHeight="15"/>
  <cols>
    <col min="1" max="1" width="1.7109375" style="1" customWidth="1"/>
    <col min="2" max="2" width="64.00390625" style="1" bestFit="1" customWidth="1"/>
    <col min="3" max="13" width="12.7109375" style="1" customWidth="1"/>
    <col min="14" max="16384" width="11.421875" style="1" customWidth="1"/>
  </cols>
  <sheetData>
    <row r="1" spans="1:2" s="6" customFormat="1" ht="4.5" customHeight="1">
      <c r="A1" s="8"/>
      <c r="B1" s="8"/>
    </row>
    <row r="2" spans="1:13" s="6" customFormat="1" ht="15.75">
      <c r="A2" s="8"/>
      <c r="B2" s="48" t="s">
        <v>12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6" customFormat="1" ht="15.75">
      <c r="A3" s="8"/>
      <c r="B3" s="47" t="s">
        <v>162</v>
      </c>
      <c r="C3" s="14"/>
      <c r="D3" s="14"/>
      <c r="E3" s="16"/>
      <c r="F3" s="16"/>
      <c r="G3" s="16"/>
      <c r="H3" s="17"/>
      <c r="I3" s="16"/>
      <c r="J3" s="16"/>
      <c r="K3" s="16"/>
      <c r="L3" s="16"/>
      <c r="M3" s="16"/>
    </row>
    <row r="4" spans="1:13" s="6" customFormat="1" ht="4.5" customHeight="1">
      <c r="A4" s="8"/>
      <c r="B4" s="15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s="6" customFormat="1" ht="15.75">
      <c r="A5" s="8"/>
      <c r="B5" s="24" t="s">
        <v>10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s="6" customFormat="1" ht="15.75">
      <c r="A6" s="8"/>
      <c r="B6" s="23" t="str">
        <f>IF('[1]Tablero de Control'!$B$7='[1]Tablero de Control'!$S$7,'[1]Tablero de Control'!$S$7,IF('[1]Tablero de Control'!$B$7='[1]Tablero de Control'!$S$8,'[1]Tablero de Control'!$S$8,IF('[1]Tablero de Control'!$B$7='[1]Tablero de Control'!$S$9,'[1]Tablero de Control'!$S$9,0)))</f>
        <v>Masivo Puro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s="6" customFormat="1" ht="4.5" customHeight="1">
      <c r="A7" s="8"/>
      <c r="B7" s="15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2:13" ht="15.75">
      <c r="B8" s="51" t="s">
        <v>9</v>
      </c>
      <c r="C8" s="51">
        <f>+'[1]Financieros'!$C$11</f>
        <v>2009</v>
      </c>
      <c r="D8" s="52">
        <f>+'[1]Financieros'!D7</f>
        <v>2010</v>
      </c>
      <c r="E8" s="52">
        <f>+'[1]Financieros'!E7</f>
        <v>2011</v>
      </c>
      <c r="F8" s="52">
        <f>+'[1]Financieros'!F7</f>
        <v>2012</v>
      </c>
      <c r="G8" s="52">
        <f>+'[1]Financieros'!G7</f>
        <v>2013</v>
      </c>
      <c r="H8" s="52">
        <f>+'[1]Financieros'!H7</f>
        <v>2014</v>
      </c>
      <c r="I8" s="52">
        <f>+'[1]Financieros'!I7</f>
        <v>2015</v>
      </c>
      <c r="J8" s="52">
        <f>+'[1]Financieros'!J7</f>
        <v>2016</v>
      </c>
      <c r="K8" s="52">
        <f>+'[1]Financieros'!K7</f>
        <v>2017</v>
      </c>
      <c r="L8" s="52">
        <f>+'[1]Financieros'!L7</f>
        <v>2018</v>
      </c>
      <c r="M8" s="52">
        <f>+'[1]Financieros'!M7</f>
        <v>2019</v>
      </c>
    </row>
    <row r="9" spans="2:13" ht="15.75">
      <c r="B9" s="38" t="s">
        <v>159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2:13" ht="15.75">
      <c r="B10" s="92" t="s">
        <v>67</v>
      </c>
      <c r="C10" s="21">
        <f aca="true" t="shared" si="0" ref="C10:M10">+C11+C12</f>
        <v>109395869.57403222</v>
      </c>
      <c r="D10" s="21">
        <f t="shared" si="0"/>
        <v>115954286.74420418</v>
      </c>
      <c r="E10" s="21">
        <f t="shared" si="0"/>
        <v>122905995.22990552</v>
      </c>
      <c r="F10" s="21">
        <f t="shared" si="0"/>
        <v>130274583.94733728</v>
      </c>
      <c r="G10" s="21">
        <f t="shared" si="0"/>
        <v>138085056.8045273</v>
      </c>
      <c r="H10" s="21">
        <f t="shared" si="0"/>
        <v>146363917.58708578</v>
      </c>
      <c r="I10" s="21">
        <f t="shared" si="0"/>
        <v>155139259.86693427</v>
      </c>
      <c r="J10" s="21">
        <f t="shared" si="0"/>
        <v>164440862.57930174</v>
      </c>
      <c r="K10" s="21">
        <f t="shared" si="0"/>
        <v>174300290.92826375</v>
      </c>
      <c r="L10" s="21">
        <f t="shared" si="0"/>
        <v>184751003.61246818</v>
      </c>
      <c r="M10" s="21">
        <f t="shared" si="0"/>
        <v>195828466.41806674</v>
      </c>
    </row>
    <row r="11" spans="2:13" ht="15.75">
      <c r="B11" s="22" t="s">
        <v>82</v>
      </c>
      <c r="C11" s="21">
        <f>+Demanda!C18*1000000</f>
        <v>109128067.32985246</v>
      </c>
      <c r="D11" s="21">
        <f>+Demanda!D18*1000000</f>
        <v>115675751.40105069</v>
      </c>
      <c r="E11" s="21">
        <f>+Demanda!E18*1000000</f>
        <v>122616296.51840523</v>
      </c>
      <c r="F11" s="21">
        <f>+Demanda!F18*1000000</f>
        <v>129973274.34479856</v>
      </c>
      <c r="G11" s="21">
        <f>+Demanda!G18*1000000</f>
        <v>137771670.8428928</v>
      </c>
      <c r="H11" s="21">
        <f>+Demanda!H18*1000000</f>
        <v>146037971.1331171</v>
      </c>
      <c r="I11" s="21">
        <f>+Demanda!I18*1000000</f>
        <v>154800249.37393433</v>
      </c>
      <c r="J11" s="21">
        <f>+Demanda!J18*1000000</f>
        <v>164088264.3075704</v>
      </c>
      <c r="K11" s="21">
        <f>+Demanda!K18*1000000</f>
        <v>173933560.13549662</v>
      </c>
      <c r="L11" s="21">
        <f>+Demanda!L18*1000000</f>
        <v>184369573.7112667</v>
      </c>
      <c r="M11" s="21">
        <f>+Demanda!M18*1000000</f>
        <v>195431748.09964138</v>
      </c>
    </row>
    <row r="12" spans="2:13" ht="15.75">
      <c r="B12" s="22" t="s">
        <v>179</v>
      </c>
      <c r="C12" s="21">
        <f>+Demanda!C19*1000000</f>
        <v>267802.24417975097</v>
      </c>
      <c r="D12" s="21">
        <f>+Demanda!D19*1000000</f>
        <v>278535.3431534851</v>
      </c>
      <c r="E12" s="21">
        <f>+Demanda!E19*1000000</f>
        <v>289698.7115002901</v>
      </c>
      <c r="F12" s="21">
        <f>+Demanda!F19*1000000</f>
        <v>301309.60253871477</v>
      </c>
      <c r="G12" s="21">
        <f>+Demanda!G19*1000000</f>
        <v>313385.9616345125</v>
      </c>
      <c r="H12" s="21">
        <f>+Demanda!H19*1000000</f>
        <v>325946.4539686804</v>
      </c>
      <c r="I12" s="21">
        <f>+Demanda!I19*1000000</f>
        <v>339010.49299993005</v>
      </c>
      <c r="J12" s="21">
        <f>+Demanda!J19*1000000</f>
        <v>352598.27173134213</v>
      </c>
      <c r="K12" s="21">
        <f>+Demanda!K19*1000000</f>
        <v>366730.7927671512</v>
      </c>
      <c r="L12" s="21">
        <f>+Demanda!L19*1000000</f>
        <v>381429.9012014905</v>
      </c>
      <c r="M12" s="21">
        <f>+Demanda!M19*1000000</f>
        <v>396718.3184253452</v>
      </c>
    </row>
    <row r="13" ht="15.75">
      <c r="B13" s="38" t="s">
        <v>160</v>
      </c>
    </row>
    <row r="14" spans="2:13" ht="15.75">
      <c r="B14" s="22" t="s">
        <v>15</v>
      </c>
      <c r="C14" s="21">
        <f>IF('[1]Tablero de Control'!$B$7='[1]Tablero de Control'!$S$7,C10/'[1]Opex'!$C$352,IF('[1]Tablero de Control'!$B$7='[1]Tablero de Control'!$S$8,C10/'[1]Opex'!$C$353,IF('[1]Tablero de Control'!$B$7='[1]Tablero de Control'!$S$9,C10/'[1]Opex'!$C$354,0)))</f>
        <v>515.7596001435526</v>
      </c>
      <c r="D14" s="21">
        <f>IF('[1]Tablero de Control'!$B$7='[1]Tablero de Control'!$S$7,D10/'[1]Opex'!$C$352,IF('[1]Tablero de Control'!$B$7='[1]Tablero de Control'!$S$8,D10/'[1]Opex'!$C$353,IF('[1]Tablero de Control'!$B$7='[1]Tablero de Control'!$S$9,D10/'[1]Opex'!$C$354,0)))</f>
        <v>546.6800236516211</v>
      </c>
      <c r="E14" s="21">
        <f>IF('[1]Tablero de Control'!$B$7='[1]Tablero de Control'!$S$7,E10/'[1]Opex'!$C$352,IF('[1]Tablero de Control'!$B$7='[1]Tablero de Control'!$S$8,E10/'[1]Opex'!$C$353,IF('[1]Tablero de Control'!$B$7='[1]Tablero de Control'!$S$9,E10/'[1]Opex'!$C$354,0)))</f>
        <v>579.4546649873571</v>
      </c>
      <c r="F14" s="21">
        <f>IF('[1]Tablero de Control'!$B$7='[1]Tablero de Control'!$S$7,F10/'[1]Opex'!$C$352,IF('[1]Tablero de Control'!$B$7='[1]Tablero de Control'!$S$8,F10/'[1]Opex'!$C$353,IF('[1]Tablero de Control'!$B$7='[1]Tablero de Control'!$S$9,F10/'[1]Opex'!$C$354,0)))</f>
        <v>614.194736850427</v>
      </c>
      <c r="G14" s="21">
        <f>IF('[1]Tablero de Control'!$B$7='[1]Tablero de Control'!$S$7,G10/'[1]Opex'!$C$352,IF('[1]Tablero de Control'!$B$7='[1]Tablero de Control'!$S$8,G10/'[1]Opex'!$C$353,IF('[1]Tablero de Control'!$B$7='[1]Tablero de Control'!$S$9,G10/'[1]Opex'!$C$354,0)))</f>
        <v>651.0181230846787</v>
      </c>
      <c r="H14" s="21">
        <f>IF('[1]Tablero de Control'!$B$7='[1]Tablero de Control'!$S$7,H10/'[1]Opex'!$C$352,IF('[1]Tablero de Control'!$B$7='[1]Tablero de Control'!$S$8,H10/'[1]Opex'!$C$353,IF('[1]Tablero de Control'!$B$7='[1]Tablero de Control'!$S$9,H10/'[1]Opex'!$C$354,0)))</f>
        <v>690.0497788819471</v>
      </c>
      <c r="I14" s="21">
        <f>IF('[1]Tablero de Control'!$B$7='[1]Tablero de Control'!$S$7,I10/'[1]Opex'!$C$352,IF('[1]Tablero de Control'!$B$7='[1]Tablero de Control'!$S$8,I10/'[1]Opex'!$C$353,IF('[1]Tablero de Control'!$B$7='[1]Tablero de Control'!$S$9,I10/'[1]Opex'!$C$354,0)))</f>
        <v>731.4221546672557</v>
      </c>
      <c r="J14" s="21">
        <f>IF('[1]Tablero de Control'!$B$7='[1]Tablero de Control'!$S$7,J10/'[1]Opex'!$C$352,IF('[1]Tablero de Control'!$B$7='[1]Tablero de Control'!$S$8,J10/'[1]Opex'!$C$353,IF('[1]Tablero de Control'!$B$7='[1]Tablero de Control'!$S$9,J10/'[1]Opex'!$C$354,0)))</f>
        <v>775.2756467077231</v>
      </c>
      <c r="K14" s="21">
        <f>IF('[1]Tablero de Control'!$B$7='[1]Tablero de Control'!$S$7,K10/'[1]Opex'!$C$352,IF('[1]Tablero de Control'!$B$7='[1]Tablero de Control'!$S$8,K10/'[1]Opex'!$C$353,IF('[1]Tablero de Control'!$B$7='[1]Tablero de Control'!$S$9,K10/'[1]Opex'!$C$354,0)))</f>
        <v>821.7590728435096</v>
      </c>
      <c r="L14" s="21">
        <f>IF('[1]Tablero de Control'!$B$7='[1]Tablero de Control'!$S$7,L10/'[1]Opex'!$C$352,IF('[1]Tablero de Control'!$B$7='[1]Tablero de Control'!$S$8,L10/'[1]Opex'!$C$353,IF('[1]Tablero de Control'!$B$7='[1]Tablero de Control'!$S$9,L10/'[1]Opex'!$C$354,0)))</f>
        <v>871.0301780160204</v>
      </c>
      <c r="M14" s="21">
        <f>IF('[1]Tablero de Control'!$B$7='[1]Tablero de Control'!$S$7,M10/'[1]Opex'!$C$352,IF('[1]Tablero de Control'!$B$7='[1]Tablero de Control'!$S$8,M10/'[1]Opex'!$C$353,IF('[1]Tablero de Control'!$B$7='[1]Tablero de Control'!$S$9,M10/'[1]Opex'!$C$354,0)))</f>
        <v>923.2561698150452</v>
      </c>
    </row>
    <row r="15" spans="2:13" ht="15.75">
      <c r="B15" s="22" t="s">
        <v>84</v>
      </c>
      <c r="C15" s="21">
        <f>IF('[1]Tablero de Control'!$B$7='[1]Tablero de Control'!$S$7,C14*'[1]Opex'!$D$352,IF('[1]Tablero de Control'!$B$7='[1]Tablero de Control'!$S$8,C14*'[1]Opex'!$D$353,IF('[1]Tablero de Control'!$B$7='[1]Tablero de Control'!$S$9,C14*'[1]Opex'!$D$354,0)))*12/1000000</f>
        <v>7234.247464169162</v>
      </c>
      <c r="D15" s="21">
        <f>IF('[1]Tablero de Control'!$B$7='[1]Tablero de Control'!$S$7,D14*'[1]Opex'!$D$352,IF('[1]Tablero de Control'!$B$7='[1]Tablero de Control'!$S$8,D14*'[1]Opex'!$D$353,IF('[1]Tablero de Control'!$B$7='[1]Tablero de Control'!$S$9,D14*'[1]Opex'!$D$354,0)))*12/1000000</f>
        <v>7667.9495131315525</v>
      </c>
      <c r="E15" s="21">
        <f>IF('[1]Tablero de Control'!$B$7='[1]Tablero de Control'!$S$7,E14*'[1]Opex'!$D$352,IF('[1]Tablero de Control'!$B$7='[1]Tablero de Control'!$S$8,E14*'[1]Opex'!$D$353,IF('[1]Tablero de Control'!$B$7='[1]Tablero de Control'!$S$9,E14*'[1]Opex'!$D$354,0)))*12/1000000</f>
        <v>8127.659552277909</v>
      </c>
      <c r="F15" s="21">
        <f>IF('[1]Tablero de Control'!$B$7='[1]Tablero de Control'!$S$7,F14*'[1]Opex'!$D$352,IF('[1]Tablero de Control'!$B$7='[1]Tablero de Control'!$S$8,F14*'[1]Opex'!$D$353,IF('[1]Tablero de Control'!$B$7='[1]Tablero de Control'!$S$9,F14*'[1]Opex'!$D$354,0)))*12/1000000</f>
        <v>8614.937494773829</v>
      </c>
      <c r="G15" s="21">
        <f>IF('[1]Tablero de Control'!$B$7='[1]Tablero de Control'!$S$7,G14*'[1]Opex'!$D$352,IF('[1]Tablero de Control'!$B$7='[1]Tablero de Control'!$S$8,G14*'[1]Opex'!$D$353,IF('[1]Tablero de Control'!$B$7='[1]Tablero de Control'!$S$9,G14*'[1]Opex'!$D$354,0)))*12/1000000</f>
        <v>9131.436825882956</v>
      </c>
      <c r="H15" s="21">
        <f>IF('[1]Tablero de Control'!$B$7='[1]Tablero de Control'!$S$7,H14*'[1]Opex'!$D$352,IF('[1]Tablero de Control'!$B$7='[1]Tablero de Control'!$S$8,H14*'[1]Opex'!$D$353,IF('[1]Tablero de Control'!$B$7='[1]Tablero de Control'!$S$9,H14*'[1]Opex'!$D$354,0)))*12/1000000</f>
        <v>9678.91021638334</v>
      </c>
      <c r="I15" s="21">
        <f>IF('[1]Tablero de Control'!$B$7='[1]Tablero de Control'!$S$7,I14*'[1]Opex'!$D$352,IF('[1]Tablero de Control'!$B$7='[1]Tablero de Control'!$S$8,I14*'[1]Opex'!$D$353,IF('[1]Tablero de Control'!$B$7='[1]Tablero de Control'!$S$9,I14*'[1]Opex'!$D$354,0)))*12/1000000</f>
        <v>10259.215468148344</v>
      </c>
      <c r="J15" s="21">
        <f>IF('[1]Tablero de Control'!$B$7='[1]Tablero de Control'!$S$7,J14*'[1]Opex'!$D$352,IF('[1]Tablero de Control'!$B$7='[1]Tablero de Control'!$S$8,J14*'[1]Opex'!$D$353,IF('[1]Tablero de Control'!$B$7='[1]Tablero de Control'!$S$9,J14*'[1]Opex'!$D$354,0)))*12/1000000</f>
        <v>10874.32183456482</v>
      </c>
      <c r="K15" s="21">
        <f>IF('[1]Tablero de Control'!$B$7='[1]Tablero de Control'!$S$7,K14*'[1]Opex'!$D$352,IF('[1]Tablero de Control'!$B$7='[1]Tablero de Control'!$S$8,K14*'[1]Opex'!$D$353,IF('[1]Tablero de Control'!$B$7='[1]Tablero de Control'!$S$9,K14*'[1]Opex'!$D$354,0)))*12/1000000</f>
        <v>11526.316693322877</v>
      </c>
      <c r="L15" s="21">
        <f>IF('[1]Tablero de Control'!$B$7='[1]Tablero de Control'!$S$7,L14*'[1]Opex'!$D$352,IF('[1]Tablero de Control'!$B$7='[1]Tablero de Control'!$S$8,L14*'[1]Opex'!$D$353,IF('[1]Tablero de Control'!$B$7='[1]Tablero de Control'!$S$9,L14*'[1]Opex'!$D$354,0)))*12/1000000</f>
        <v>12217.41263715376</v>
      </c>
      <c r="M15" s="21">
        <f>IF('[1]Tablero de Control'!$B$7='[1]Tablero de Control'!$S$7,M14*'[1]Opex'!$D$352,IF('[1]Tablero de Control'!$B$7='[1]Tablero de Control'!$S$8,M14*'[1]Opex'!$D$353,IF('[1]Tablero de Control'!$B$7='[1]Tablero de Control'!$S$9,M14*'[1]Opex'!$D$354,0)))*12/1000000</f>
        <v>12949.954985625134</v>
      </c>
    </row>
    <row r="16" ht="15.75">
      <c r="B16" s="38" t="s">
        <v>161</v>
      </c>
    </row>
    <row r="17" spans="2:13" ht="15.75">
      <c r="B17" s="22" t="s">
        <v>15</v>
      </c>
      <c r="C17" s="21">
        <f>IF('[1]Tablero de Control'!$B$7='[1]Tablero de Control'!$S$7,C14*(1-'[1]Opex'!C373),IF('[1]Tablero de Control'!$B$7='[1]Tablero de Control'!$S$8,C14*(1-'[1]Opex'!C374),IF('[1]Tablero de Control'!$B$7='[1]Tablero de Control'!$S$9,C14*(1-'[1]Opex'!C375),0)))</f>
        <v>515.7596001435526</v>
      </c>
      <c r="D17" s="21">
        <f>IF('[1]Tablero de Control'!$B$7='[1]Tablero de Control'!$S$7,D14*(1-'[1]Opex'!D373),IF('[1]Tablero de Control'!$B$7='[1]Tablero de Control'!$S$8,D14*(1-'[1]Opex'!D374),IF('[1]Tablero de Control'!$B$7='[1]Tablero de Control'!$S$9,D14*(1-'[1]Opex'!D375),0)))</f>
        <v>541.213223415105</v>
      </c>
      <c r="E17" s="21">
        <f>IF('[1]Tablero de Control'!$B$7='[1]Tablero de Control'!$S$7,E14*(1-'[1]Opex'!E373),IF('[1]Tablero de Control'!$B$7='[1]Tablero de Control'!$S$8,E14*(1-'[1]Opex'!E374),IF('[1]Tablero de Control'!$B$7='[1]Tablero de Control'!$S$9,E14*(1-'[1]Opex'!E375),0)))</f>
        <v>572.9358000062493</v>
      </c>
      <c r="F17" s="21">
        <f>IF('[1]Tablero de Control'!$B$7='[1]Tablero de Control'!$S$7,F14*(1-'[1]Opex'!F373),IF('[1]Tablero de Control'!$B$7='[1]Tablero de Control'!$S$8,F14*(1-'[1]Opex'!F374),IF('[1]Tablero de Control'!$B$7='[1]Tablero de Control'!$S$9,F14*(1-'[1]Opex'!F375),0)))</f>
        <v>606.5173026397968</v>
      </c>
      <c r="G17" s="21">
        <f>IF('[1]Tablero de Control'!$B$7='[1]Tablero de Control'!$S$7,G14*(1-'[1]Opex'!G373),IF('[1]Tablero de Control'!$B$7='[1]Tablero de Control'!$S$8,G14*(1-'[1]Opex'!G374),IF('[1]Tablero de Control'!$B$7='[1]Tablero de Control'!$S$9,G14*(1-'[1]Opex'!G375),0)))</f>
        <v>642.0666238922644</v>
      </c>
      <c r="H17" s="21">
        <f>IF('[1]Tablero de Control'!$B$7='[1]Tablero de Control'!$S$7,H14*(1-'[1]Opex'!H373),IF('[1]Tablero de Control'!$B$7='[1]Tablero de Control'!$S$8,H14*(1-'[1]Opex'!H374),IF('[1]Tablero de Control'!$B$7='[1]Tablero de Control'!$S$9,H14*(1-'[1]Opex'!H375),0)))</f>
        <v>679.6990321987179</v>
      </c>
      <c r="I17" s="21">
        <f>IF('[1]Tablero de Control'!$B$7='[1]Tablero de Control'!$S$7,I14*(1-'[1]Opex'!I373),IF('[1]Tablero de Control'!$B$7='[1]Tablero de Control'!$S$8,I14*(1-'[1]Opex'!I374),IF('[1]Tablero de Control'!$B$7='[1]Tablero de Control'!$S$9,I14*(1-'[1]Opex'!I375),0)))</f>
        <v>719.5365446539128</v>
      </c>
      <c r="J17" s="21">
        <f>IF('[1]Tablero de Control'!$B$7='[1]Tablero de Control'!$S$7,J14*(1-'[1]Opex'!J373),IF('[1]Tablero de Control'!$B$7='[1]Tablero de Control'!$S$8,J14*(1-'[1]Opex'!J374),IF('[1]Tablero de Control'!$B$7='[1]Tablero de Control'!$S$9,J14*(1-'[1]Opex'!J375),0)))</f>
        <v>761.708322890338</v>
      </c>
      <c r="K17" s="21">
        <f>IF('[1]Tablero de Control'!$B$7='[1]Tablero de Control'!$S$7,K14*(1-'[1]Opex'!K373),IF('[1]Tablero de Control'!$B$7='[1]Tablero de Control'!$S$8,K14*(1-'[1]Opex'!K374),IF('[1]Tablero de Control'!$B$7='[1]Tablero de Control'!$S$9,K14*(1-'[1]Opex'!K375),0)))</f>
        <v>806.3510902276937</v>
      </c>
      <c r="L17" s="21">
        <f>IF('[1]Tablero de Control'!$B$7='[1]Tablero de Control'!$S$7,L14*(1-'[1]Opex'!L373),IF('[1]Tablero de Control'!$B$7='[1]Tablero de Control'!$S$8,L14*(1-'[1]Opex'!L374),IF('[1]Tablero de Control'!$B$7='[1]Tablero de Control'!$S$9,L14*(1-'[1]Opex'!L375),0)))</f>
        <v>853.6095744557</v>
      </c>
      <c r="M17" s="21">
        <f>IF('[1]Tablero de Control'!$B$7='[1]Tablero de Control'!$S$7,M14*(1-'[1]Opex'!M373),IF('[1]Tablero de Control'!$B$7='[1]Tablero de Control'!$S$8,M14*(1-'[1]Opex'!M374),IF('[1]Tablero de Control'!$B$7='[1]Tablero de Control'!$S$9,M14*(1-'[1]Opex'!M375),0)))</f>
        <v>903.6369762064754</v>
      </c>
    </row>
    <row r="18" spans="2:13" ht="15.75">
      <c r="B18" s="22" t="s">
        <v>84</v>
      </c>
      <c r="C18" s="21">
        <f>IF('[1]Tablero de Control'!$B$7='[1]Tablero de Control'!$S$7,C17*'[1]Opex'!$C$377,IF('[1]Tablero de Control'!$B$7='[1]Tablero de Control'!$S$8,C17*'[1]Opex'!$C$378,IF('[1]Tablero de Control'!$B$7='[1]Tablero de Control'!$S$9,C17*'[1]Opex'!$C$379,0)))*12/1000000</f>
        <v>6872.535090960705</v>
      </c>
      <c r="D18" s="21">
        <f>IF('[1]Tablero de Control'!$B$7='[1]Tablero de Control'!$S$7,D17*'[1]Opex'!$C$377,IF('[1]Tablero de Control'!$B$7='[1]Tablero de Control'!$S$8,D17*'[1]Opex'!$C$378,IF('[1]Tablero de Control'!$B$7='[1]Tablero de Control'!$S$9,D17*'[1]Opex'!$C$379,0)))*12/1000000</f>
        <v>7211.706517100225</v>
      </c>
      <c r="E18" s="21">
        <f>IF('[1]Tablero de Control'!$B$7='[1]Tablero de Control'!$S$7,E17*'[1]Opex'!$C$377,IF('[1]Tablero de Control'!$B$7='[1]Tablero de Control'!$S$8,E17*'[1]Opex'!$C$378,IF('[1]Tablero de Control'!$B$7='[1]Tablero de Control'!$S$9,E17*'[1]Opex'!$C$379,0)))*12/1000000</f>
        <v>7634.412213199043</v>
      </c>
      <c r="F18" s="21">
        <f>IF('[1]Tablero de Control'!$B$7='[1]Tablero de Control'!$S$7,F17*'[1]Opex'!$C$377,IF('[1]Tablero de Control'!$B$7='[1]Tablero de Control'!$S$8,F17*'[1]Opex'!$C$378,IF('[1]Tablero de Control'!$B$7='[1]Tablero de Control'!$S$9,F17*'[1]Opex'!$C$379,0)))*12/1000000</f>
        <v>8081.8882372846965</v>
      </c>
      <c r="G18" s="21">
        <f>IF('[1]Tablero de Control'!$B$7='[1]Tablero de Control'!$S$7,G17*'[1]Opex'!$C$377,IF('[1]Tablero de Control'!$B$7='[1]Tablero de Control'!$S$8,G17*'[1]Opex'!$C$378,IF('[1]Tablero de Control'!$B$7='[1]Tablero de Control'!$S$9,G17*'[1]Opex'!$C$379,0)))*12/1000000</f>
        <v>8555.585591050713</v>
      </c>
      <c r="H18" s="21">
        <f>IF('[1]Tablero de Control'!$B$7='[1]Tablero de Control'!$S$7,H17*'[1]Opex'!$C$377,IF('[1]Tablero de Control'!$B$7='[1]Tablero de Control'!$S$8,H17*'[1]Opex'!$C$378,IF('[1]Tablero de Control'!$B$7='[1]Tablero de Control'!$S$9,H17*'[1]Opex'!$C$379,0)))*12/1000000</f>
        <v>9057.040234980708</v>
      </c>
      <c r="I18" s="21">
        <f>IF('[1]Tablero de Control'!$B$7='[1]Tablero de Control'!$S$7,I17*'[1]Opex'!$C$377,IF('[1]Tablero de Control'!$B$7='[1]Tablero de Control'!$S$8,I17*'[1]Opex'!$C$378,IF('[1]Tablero de Control'!$B$7='[1]Tablero de Control'!$S$9,I17*'[1]Opex'!$C$379,0)))*12/1000000</f>
        <v>9587.878055951387</v>
      </c>
      <c r="J18" s="21">
        <f>IF('[1]Tablero de Control'!$B$7='[1]Tablero de Control'!$S$7,J17*'[1]Opex'!$C$377,IF('[1]Tablero de Control'!$B$7='[1]Tablero de Control'!$S$8,J17*'[1]Opex'!$C$378,IF('[1]Tablero de Control'!$B$7='[1]Tablero de Control'!$S$9,J17*'[1]Opex'!$C$379,0)))*12/1000000</f>
        <v>10149.820142336937</v>
      </c>
      <c r="K18" s="21">
        <f>IF('[1]Tablero de Control'!$B$7='[1]Tablero de Control'!$S$7,K17*'[1]Opex'!$C$377,IF('[1]Tablero de Control'!$B$7='[1]Tablero de Control'!$S$8,K17*'[1]Opex'!$C$378,IF('[1]Tablero de Control'!$B$7='[1]Tablero de Control'!$S$9,K17*'[1]Opex'!$C$379,0)))*12/1000000</f>
        <v>10744.688342556916</v>
      </c>
      <c r="L18" s="21">
        <f>IF('[1]Tablero de Control'!$B$7='[1]Tablero de Control'!$S$7,L17*'[1]Opex'!$C$377,IF('[1]Tablero de Control'!$B$7='[1]Tablero de Control'!$S$8,L17*'[1]Opex'!$C$378,IF('[1]Tablero de Control'!$B$7='[1]Tablero de Control'!$S$9,L17*'[1]Opex'!$C$379,0)))*12/1000000</f>
        <v>11374.411165190151</v>
      </c>
      <c r="M18" s="21">
        <f>IF('[1]Tablero de Control'!$B$7='[1]Tablero de Control'!$S$7,M17*'[1]Opex'!$C$377,IF('[1]Tablero de Control'!$B$7='[1]Tablero de Control'!$S$8,M17*'[1]Opex'!$C$378,IF('[1]Tablero de Control'!$B$7='[1]Tablero de Control'!$S$9,M17*'[1]Opex'!$C$379,0)))*12/1000000</f>
        <v>12041.03002007157</v>
      </c>
    </row>
    <row r="19" ht="15.75">
      <c r="B19" s="38" t="s">
        <v>163</v>
      </c>
    </row>
    <row r="20" spans="2:13" ht="15.75">
      <c r="B20" s="22" t="s">
        <v>140</v>
      </c>
      <c r="C20" s="21">
        <f>IF('[1]Tablero de Control'!$B$7='[1]Tablero de Control'!$S$7,0,IF('[1]Tablero de Control'!$B$7='[1]Tablero de Control'!$S$8,('[1]Opex'!$C$381*'[1]Opex'!$D$381+'[1]Opex'!$C$382*'[1]Opex'!$D$382)*'[1]Opex'!$C$383,IF('[1]Tablero de Control'!$B$7='[1]Tablero de Control'!$S$9,('[1]Opex'!$C$381*'[1]Opex'!$D$381+'[1]Opex'!$C$382*'[1]Opex'!$D$382)*'[1]Opex'!$C$383,0)))*12/1000000</f>
        <v>0</v>
      </c>
      <c r="D20" s="21">
        <f>IF('[1]Tablero de Control'!$B$7='[1]Tablero de Control'!$S$7,0,IF('[1]Tablero de Control'!$B$7='[1]Tablero de Control'!$S$8,('[1]Opex'!$C$381*'[1]Opex'!$D$381+'[1]Opex'!$C$382*'[1]Opex'!$D$382)*'[1]Opex'!$C$383,IF('[1]Tablero de Control'!$B$7='[1]Tablero de Control'!$S$9,('[1]Opex'!$C$381*'[1]Opex'!$D$381+'[1]Opex'!$C$382*'[1]Opex'!$D$382)*'[1]Opex'!$C$383,0)))*12/1000000</f>
        <v>0</v>
      </c>
      <c r="E20" s="21">
        <f>IF('[1]Tablero de Control'!$B$7='[1]Tablero de Control'!$S$7,0,IF('[1]Tablero de Control'!$B$7='[1]Tablero de Control'!$S$8,('[1]Opex'!$C$381*'[1]Opex'!$D$381+'[1]Opex'!$C$382*'[1]Opex'!$D$382)*'[1]Opex'!$C$383,IF('[1]Tablero de Control'!$B$7='[1]Tablero de Control'!$S$9,('[1]Opex'!$C$381*'[1]Opex'!$D$381+'[1]Opex'!$C$382*'[1]Opex'!$D$382)*'[1]Opex'!$C$383,0)))*12/1000000</f>
        <v>0</v>
      </c>
      <c r="F20" s="21">
        <f>IF('[1]Tablero de Control'!$B$7='[1]Tablero de Control'!$S$7,0,IF('[1]Tablero de Control'!$B$7='[1]Tablero de Control'!$S$8,('[1]Opex'!$C$381*'[1]Opex'!$D$381+'[1]Opex'!$C$382*'[1]Opex'!$D$382)*'[1]Opex'!$C$383,IF('[1]Tablero de Control'!$B$7='[1]Tablero de Control'!$S$9,('[1]Opex'!$C$381*'[1]Opex'!$D$381+'[1]Opex'!$C$382*'[1]Opex'!$D$382)*'[1]Opex'!$C$383,0)))*12/1000000</f>
        <v>0</v>
      </c>
      <c r="G20" s="21">
        <f>IF('[1]Tablero de Control'!$B$7='[1]Tablero de Control'!$S$7,0,IF('[1]Tablero de Control'!$B$7='[1]Tablero de Control'!$S$8,('[1]Opex'!$C$381*'[1]Opex'!$D$381+'[1]Opex'!$C$382*'[1]Opex'!$D$382)*'[1]Opex'!$C$383,IF('[1]Tablero de Control'!$B$7='[1]Tablero de Control'!$S$9,('[1]Opex'!$C$381*'[1]Opex'!$D$381+'[1]Opex'!$C$382*'[1]Opex'!$D$382)*'[1]Opex'!$C$383,0)))*12/1000000</f>
        <v>0</v>
      </c>
      <c r="H20" s="21">
        <f>IF('[1]Tablero de Control'!$B$7='[1]Tablero de Control'!$S$7,0,IF('[1]Tablero de Control'!$B$7='[1]Tablero de Control'!$S$8,('[1]Opex'!$C$381*'[1]Opex'!$D$381+'[1]Opex'!$C$382*'[1]Opex'!$D$382)*'[1]Opex'!$C$383,IF('[1]Tablero de Control'!$B$7='[1]Tablero de Control'!$S$9,('[1]Opex'!$C$381*'[1]Opex'!$D$381+'[1]Opex'!$C$382*'[1]Opex'!$D$382)*'[1]Opex'!$C$383,0)))*12/1000000</f>
        <v>0</v>
      </c>
      <c r="I20" s="21">
        <f>IF('[1]Tablero de Control'!$B$7='[1]Tablero de Control'!$S$7,0,IF('[1]Tablero de Control'!$B$7='[1]Tablero de Control'!$S$8,('[1]Opex'!$C$381*'[1]Opex'!$D$381+'[1]Opex'!$C$382*'[1]Opex'!$D$382)*'[1]Opex'!$C$383,IF('[1]Tablero de Control'!$B$7='[1]Tablero de Control'!$S$9,('[1]Opex'!$C$381*'[1]Opex'!$D$381+'[1]Opex'!$C$382*'[1]Opex'!$D$382)*'[1]Opex'!$C$383,0)))*12/1000000</f>
        <v>0</v>
      </c>
      <c r="J20" s="21">
        <f>IF('[1]Tablero de Control'!$B$7='[1]Tablero de Control'!$S$7,0,IF('[1]Tablero de Control'!$B$7='[1]Tablero de Control'!$S$8,('[1]Opex'!$C$381*'[1]Opex'!$D$381+'[1]Opex'!$C$382*'[1]Opex'!$D$382)*'[1]Opex'!$C$383,IF('[1]Tablero de Control'!$B$7='[1]Tablero de Control'!$S$9,('[1]Opex'!$C$381*'[1]Opex'!$D$381+'[1]Opex'!$C$382*'[1]Opex'!$D$382)*'[1]Opex'!$C$383,0)))*12/1000000</f>
        <v>0</v>
      </c>
      <c r="K20" s="21">
        <f>IF('[1]Tablero de Control'!$B$7='[1]Tablero de Control'!$S$7,0,IF('[1]Tablero de Control'!$B$7='[1]Tablero de Control'!$S$8,('[1]Opex'!$C$381*'[1]Opex'!$D$381+'[1]Opex'!$C$382*'[1]Opex'!$D$382)*'[1]Opex'!$C$383,IF('[1]Tablero de Control'!$B$7='[1]Tablero de Control'!$S$9,('[1]Opex'!$C$381*'[1]Opex'!$D$381+'[1]Opex'!$C$382*'[1]Opex'!$D$382)*'[1]Opex'!$C$383,0)))*12/1000000</f>
        <v>0</v>
      </c>
      <c r="L20" s="21">
        <f>IF('[1]Tablero de Control'!$B$7='[1]Tablero de Control'!$S$7,0,IF('[1]Tablero de Control'!$B$7='[1]Tablero de Control'!$S$8,('[1]Opex'!$C$381*'[1]Opex'!$D$381+'[1]Opex'!$C$382*'[1]Opex'!$D$382)*'[1]Opex'!$C$383,IF('[1]Tablero de Control'!$B$7='[1]Tablero de Control'!$S$9,('[1]Opex'!$C$381*'[1]Opex'!$D$381+'[1]Opex'!$C$382*'[1]Opex'!$D$382)*'[1]Opex'!$C$383,0)))*12/1000000</f>
        <v>0</v>
      </c>
      <c r="M20" s="21">
        <f>IF('[1]Tablero de Control'!$B$7='[1]Tablero de Control'!$S$7,0,IF('[1]Tablero de Control'!$B$7='[1]Tablero de Control'!$S$8,('[1]Opex'!$C$381*'[1]Opex'!$D$381+'[1]Opex'!$C$382*'[1]Opex'!$D$382)*'[1]Opex'!$C$383,IF('[1]Tablero de Control'!$B$7='[1]Tablero de Control'!$S$9,('[1]Opex'!$C$381*'[1]Opex'!$D$381+'[1]Opex'!$C$382*'[1]Opex'!$D$382)*'[1]Opex'!$C$383,0)))*12/1000000</f>
        <v>0</v>
      </c>
    </row>
    <row r="21" ht="15.75">
      <c r="B21" s="38" t="s">
        <v>171</v>
      </c>
    </row>
    <row r="22" spans="2:13" ht="15.75">
      <c r="B22" s="22" t="s">
        <v>170</v>
      </c>
      <c r="C22" s="21">
        <f>+C15+C20</f>
        <v>7234.247464169162</v>
      </c>
      <c r="D22" s="21">
        <f aca="true" t="shared" si="1" ref="D22:M22">+D15+D20</f>
        <v>7667.9495131315525</v>
      </c>
      <c r="E22" s="21">
        <f t="shared" si="1"/>
        <v>8127.659552277909</v>
      </c>
      <c r="F22" s="21">
        <f t="shared" si="1"/>
        <v>8614.937494773829</v>
      </c>
      <c r="G22" s="21">
        <f t="shared" si="1"/>
        <v>9131.436825882956</v>
      </c>
      <c r="H22" s="21">
        <f t="shared" si="1"/>
        <v>9678.91021638334</v>
      </c>
      <c r="I22" s="21">
        <f t="shared" si="1"/>
        <v>10259.215468148344</v>
      </c>
      <c r="J22" s="21">
        <f t="shared" si="1"/>
        <v>10874.32183456482</v>
      </c>
      <c r="K22" s="21">
        <f t="shared" si="1"/>
        <v>11526.316693322877</v>
      </c>
      <c r="L22" s="21">
        <f t="shared" si="1"/>
        <v>12217.41263715376</v>
      </c>
      <c r="M22" s="21">
        <f t="shared" si="1"/>
        <v>12949.954985625134</v>
      </c>
    </row>
    <row r="23" spans="2:13" ht="15.75">
      <c r="B23" s="22" t="s">
        <v>85</v>
      </c>
      <c r="C23" s="21">
        <f>+C18+C20</f>
        <v>6872.535090960705</v>
      </c>
      <c r="D23" s="21">
        <f aca="true" t="shared" si="2" ref="D23:M23">+D18+D20</f>
        <v>7211.706517100225</v>
      </c>
      <c r="E23" s="21">
        <f t="shared" si="2"/>
        <v>7634.412213199043</v>
      </c>
      <c r="F23" s="21">
        <f t="shared" si="2"/>
        <v>8081.8882372846965</v>
      </c>
      <c r="G23" s="21">
        <f t="shared" si="2"/>
        <v>8555.585591050713</v>
      </c>
      <c r="H23" s="21">
        <f t="shared" si="2"/>
        <v>9057.040234980708</v>
      </c>
      <c r="I23" s="21">
        <f t="shared" si="2"/>
        <v>9587.878055951387</v>
      </c>
      <c r="J23" s="21">
        <f t="shared" si="2"/>
        <v>10149.820142336937</v>
      </c>
      <c r="K23" s="21">
        <f t="shared" si="2"/>
        <v>10744.688342556916</v>
      </c>
      <c r="L23" s="21">
        <f t="shared" si="2"/>
        <v>11374.411165190151</v>
      </c>
      <c r="M23" s="21">
        <f t="shared" si="2"/>
        <v>12041.03002007157</v>
      </c>
    </row>
    <row r="24" ht="15.75">
      <c r="B24" s="38" t="s">
        <v>173</v>
      </c>
    </row>
    <row r="25" spans="2:13" ht="15.75">
      <c r="B25" s="22" t="s">
        <v>174</v>
      </c>
      <c r="C25" s="21">
        <f>(C14*'[1]Capex'!$C$129+IF('[1]Tablero de Control'!$B$7='[1]Tablero de Control'!$S$8,'[1]Capex'!$C$136*SUM('[1]Opex'!$C$381:$C$382),0)+IF('[1]Tablero de Control'!$B$7='[1]Tablero de Control'!$S$9,'[1]Capex'!$C$136*SUM('[1]Opex'!$C$381:$C$382),0))/1000000</f>
        <v>25.78798000717763</v>
      </c>
      <c r="D25" s="21">
        <f>(D14-C14)*'[1]Capex'!$C$129/1000000</f>
        <v>1.5460211754034276</v>
      </c>
      <c r="E25" s="21">
        <f>(E14-D14)*'[1]Capex'!$C$129/1000000</f>
        <v>1.6387320667867982</v>
      </c>
      <c r="F25" s="21">
        <f>(F14-E14)*'[1]Capex'!$C$129/1000000</f>
        <v>1.7370035931534973</v>
      </c>
      <c r="G25" s="21">
        <f>(G14-F14)*'[1]Capex'!$C$129/1000000</f>
        <v>1.841169311712582</v>
      </c>
      <c r="H25" s="21">
        <f>(H14-G14)*'[1]Capex'!$C$129/1000000</f>
        <v>1.95158278986342</v>
      </c>
      <c r="I25" s="21">
        <f>(I14-H14)*'[1]Capex'!$C$129/1000000</f>
        <v>2.068618789265429</v>
      </c>
      <c r="J25" s="21">
        <f>(J14-I14)*'[1]Capex'!$C$129/1000000</f>
        <v>2.1926746020233736</v>
      </c>
      <c r="K25" s="21">
        <f>(K14-J14)*'[1]Capex'!$C$129/1000000</f>
        <v>2.3241713067893213</v>
      </c>
      <c r="L25" s="21">
        <f>(L14-K14)*'[1]Capex'!$C$129/1000000</f>
        <v>2.4635552586255414</v>
      </c>
      <c r="M25" s="21">
        <f>(M14-L14)*'[1]Capex'!$C$129/1000000</f>
        <v>2.611299589951239</v>
      </c>
    </row>
    <row r="26" spans="2:13" ht="15.75">
      <c r="B26" s="22" t="s">
        <v>175</v>
      </c>
      <c r="C26" s="21">
        <f>(C17*'[1]Capex'!$C$129+IF('[1]Tablero de Control'!$B$7='[1]Tablero de Control'!$S$8,'[1]Capex'!$C$136*SUM('[1]Opex'!$C$381:$C$382),0)+IF('[1]Tablero de Control'!$B$7='[1]Tablero de Control'!$S$9,'[1]Capex'!$C$136*SUM('[1]Opex'!$C$381:$C$382),0))/1000000</f>
        <v>25.78798000717763</v>
      </c>
      <c r="D26" s="21">
        <f>(D17-C17)*'[1]Capex'!$C$129/1000000</f>
        <v>1.2726811635776187</v>
      </c>
      <c r="E26" s="21">
        <f>(E17-D17)*'[1]Capex'!$C$129/1000000</f>
        <v>1.5861288295572196</v>
      </c>
      <c r="F26" s="21">
        <f>(F17-E17)*'[1]Capex'!$C$129/1000000</f>
        <v>1.6790751316773707</v>
      </c>
      <c r="G26" s="21">
        <f>(G17-F17)*'[1]Capex'!$C$129/1000000</f>
        <v>1.7774660626233811</v>
      </c>
      <c r="H26" s="21">
        <f>(H17-G17)*'[1]Capex'!$C$129/1000000</f>
        <v>1.881620415322675</v>
      </c>
      <c r="I26" s="21">
        <f>(I17-H17)*'[1]Capex'!$C$129/1000000</f>
        <v>1.991875622759744</v>
      </c>
      <c r="J26" s="21">
        <f>(J17-I17)*'[1]Capex'!$C$129/1000000</f>
        <v>2.1085889118212604</v>
      </c>
      <c r="K26" s="21">
        <f>(K17-J17)*'[1]Capex'!$C$129/1000000</f>
        <v>2.2321383668677868</v>
      </c>
      <c r="L26" s="21">
        <f>(L17-K17)*'[1]Capex'!$C$129/1000000</f>
        <v>2.3629242114003146</v>
      </c>
      <c r="M26" s="21">
        <f>(M17-L17)*'[1]Capex'!$C$129/1000000</f>
        <v>2.5013700875387714</v>
      </c>
    </row>
    <row r="27" spans="2:13" ht="15.75">
      <c r="B27" s="22" t="s">
        <v>158</v>
      </c>
      <c r="C27" s="21">
        <f>IF('[1]Tablero de Control'!$B$7='[1]Tablero de Control'!$S$7,0,'[1]Capex'!$C$138*SUM('[1]Opex'!$C$381:$C$382)/1000000)</f>
        <v>0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4"/>
  <sheetViews>
    <sheetView zoomScalePageLayoutView="0" workbookViewId="0" topLeftCell="A1">
      <selection activeCell="D107" sqref="D107"/>
    </sheetView>
  </sheetViews>
  <sheetFormatPr defaultColWidth="11.421875" defaultRowHeight="15"/>
  <cols>
    <col min="1" max="1" width="1.7109375" style="1" customWidth="1"/>
    <col min="2" max="2" width="63.8515625" style="1" customWidth="1"/>
    <col min="3" max="4" width="12.421875" style="1" bestFit="1" customWidth="1"/>
    <col min="5" max="5" width="12.57421875" style="1" bestFit="1" customWidth="1"/>
    <col min="6" max="13" width="12.421875" style="1" bestFit="1" customWidth="1"/>
    <col min="14" max="16384" width="11.421875" style="1" customWidth="1"/>
  </cols>
  <sheetData>
    <row r="1" spans="1:2" s="6" customFormat="1" ht="4.5" customHeight="1">
      <c r="A1" s="8"/>
      <c r="B1" s="8"/>
    </row>
    <row r="2" spans="1:13" s="6" customFormat="1" ht="15.75">
      <c r="A2" s="8"/>
      <c r="B2" s="48" t="s">
        <v>12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6" customFormat="1" ht="15.75">
      <c r="A3" s="8"/>
      <c r="B3" s="47" t="s">
        <v>165</v>
      </c>
      <c r="C3" s="14"/>
      <c r="D3" s="14"/>
      <c r="E3" s="116"/>
      <c r="F3" s="16"/>
      <c r="G3" s="16"/>
      <c r="H3" s="17"/>
      <c r="I3" s="16"/>
      <c r="J3" s="16"/>
      <c r="K3" s="16"/>
      <c r="L3" s="16"/>
      <c r="M3" s="16"/>
    </row>
    <row r="4" spans="1:13" s="6" customFormat="1" ht="4.5" customHeight="1">
      <c r="A4" s="8"/>
      <c r="B4" s="15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s="6" customFormat="1" ht="15.75">
      <c r="A5" s="8"/>
      <c r="B5" s="24" t="s">
        <v>10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s="6" customFormat="1" ht="15.75">
      <c r="A6" s="8"/>
      <c r="B6" s="23" t="str">
        <f>IF('[1]Tablero de Control'!$B$7='[1]Tablero de Control'!$S$7,'[1]Tablero de Control'!$S$7,IF('[1]Tablero de Control'!$B$7='[1]Tablero de Control'!$S$8,'[1]Tablero de Control'!$S$8,IF('[1]Tablero de Control'!$B$7='[1]Tablero de Control'!$S$9,'[1]Tablero de Control'!$S$9,0)))</f>
        <v>Masivo Puro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s="6" customFormat="1" ht="4.5" customHeight="1">
      <c r="A7" s="8"/>
      <c r="B7" s="15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2:13" ht="15.75">
      <c r="B8" s="51" t="s">
        <v>9</v>
      </c>
      <c r="C8" s="51">
        <f>+'[1]Financieros'!$C$11</f>
        <v>2009</v>
      </c>
      <c r="D8" s="52">
        <f>+'[1]Financieros'!D7</f>
        <v>2010</v>
      </c>
      <c r="E8" s="52">
        <f>+'[1]Financieros'!E7</f>
        <v>2011</v>
      </c>
      <c r="F8" s="52">
        <f>+'[1]Financieros'!F7</f>
        <v>2012</v>
      </c>
      <c r="G8" s="52">
        <f>+'[1]Financieros'!G7</f>
        <v>2013</v>
      </c>
      <c r="H8" s="52">
        <f>+'[1]Financieros'!H7</f>
        <v>2014</v>
      </c>
      <c r="I8" s="52">
        <f>+'[1]Financieros'!I7</f>
        <v>2015</v>
      </c>
      <c r="J8" s="52">
        <f>+'[1]Financieros'!J7</f>
        <v>2016</v>
      </c>
      <c r="K8" s="52">
        <f>+'[1]Financieros'!K7</f>
        <v>2017</v>
      </c>
      <c r="L8" s="52">
        <f>+'[1]Financieros'!L7</f>
        <v>2018</v>
      </c>
      <c r="M8" s="52">
        <f>+'[1]Financieros'!M7</f>
        <v>2019</v>
      </c>
    </row>
    <row r="9" spans="2:13" ht="15.75">
      <c r="B9" s="38" t="s">
        <v>143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2:13" ht="15.75">
      <c r="B10" s="92" t="s">
        <v>67</v>
      </c>
      <c r="C10" s="21">
        <f aca="true" t="shared" si="0" ref="C10:M10">+C11+C12</f>
        <v>109395869.57403222</v>
      </c>
      <c r="D10" s="21">
        <f t="shared" si="0"/>
        <v>115954286.74420418</v>
      </c>
      <c r="E10" s="21">
        <f t="shared" si="0"/>
        <v>122905995.22990552</v>
      </c>
      <c r="F10" s="21">
        <f t="shared" si="0"/>
        <v>130274583.94733728</v>
      </c>
      <c r="G10" s="21">
        <f t="shared" si="0"/>
        <v>138085056.8045273</v>
      </c>
      <c r="H10" s="21">
        <f t="shared" si="0"/>
        <v>146363917.58708578</v>
      </c>
      <c r="I10" s="21">
        <f t="shared" si="0"/>
        <v>155139259.86693427</v>
      </c>
      <c r="J10" s="21">
        <f t="shared" si="0"/>
        <v>164440862.57930174</v>
      </c>
      <c r="K10" s="21">
        <f t="shared" si="0"/>
        <v>174300290.92826375</v>
      </c>
      <c r="L10" s="21">
        <f t="shared" si="0"/>
        <v>184751003.61246818</v>
      </c>
      <c r="M10" s="21">
        <f t="shared" si="0"/>
        <v>195828466.41806674</v>
      </c>
    </row>
    <row r="11" spans="2:13" ht="15.75">
      <c r="B11" s="22" t="s">
        <v>82</v>
      </c>
      <c r="C11" s="21">
        <f>+Demanda!C18*1000000</f>
        <v>109128067.32985246</v>
      </c>
      <c r="D11" s="21">
        <f>+Demanda!D18*1000000</f>
        <v>115675751.40105069</v>
      </c>
      <c r="E11" s="21">
        <f>+Demanda!E18*1000000</f>
        <v>122616296.51840523</v>
      </c>
      <c r="F11" s="21">
        <f>+Demanda!F18*1000000</f>
        <v>129973274.34479856</v>
      </c>
      <c r="G11" s="21">
        <f>+Demanda!G18*1000000</f>
        <v>137771670.8428928</v>
      </c>
      <c r="H11" s="21">
        <f>+Demanda!H18*1000000</f>
        <v>146037971.1331171</v>
      </c>
      <c r="I11" s="21">
        <f>+Demanda!I18*1000000</f>
        <v>154800249.37393433</v>
      </c>
      <c r="J11" s="21">
        <f>+Demanda!J18*1000000</f>
        <v>164088264.3075704</v>
      </c>
      <c r="K11" s="21">
        <f>+Demanda!K18*1000000</f>
        <v>173933560.13549662</v>
      </c>
      <c r="L11" s="21">
        <f>+Demanda!L18*1000000</f>
        <v>184369573.7112667</v>
      </c>
      <c r="M11" s="21">
        <f>+Demanda!M18*1000000</f>
        <v>195431748.09964138</v>
      </c>
    </row>
    <row r="12" spans="2:13" ht="15.75">
      <c r="B12" s="22" t="s">
        <v>179</v>
      </c>
      <c r="C12" s="21">
        <f>+Demanda!C19*1000000</f>
        <v>267802.24417975097</v>
      </c>
      <c r="D12" s="21">
        <f>+Demanda!D19*1000000</f>
        <v>278535.3431534851</v>
      </c>
      <c r="E12" s="21">
        <f>+Demanda!E19*1000000</f>
        <v>289698.7115002901</v>
      </c>
      <c r="F12" s="21">
        <f>+Demanda!F19*1000000</f>
        <v>301309.60253871477</v>
      </c>
      <c r="G12" s="21">
        <f>+Demanda!G19*1000000</f>
        <v>313385.9616345125</v>
      </c>
      <c r="H12" s="21">
        <f>+Demanda!H19*1000000</f>
        <v>325946.4539686804</v>
      </c>
      <c r="I12" s="21">
        <f>+Demanda!I19*1000000</f>
        <v>339010.49299993005</v>
      </c>
      <c r="J12" s="21">
        <f>+Demanda!J19*1000000</f>
        <v>352598.27173134213</v>
      </c>
      <c r="K12" s="21">
        <f>+Demanda!K19*1000000</f>
        <v>366730.7927671512</v>
      </c>
      <c r="L12" s="21">
        <f>+Demanda!L19*1000000</f>
        <v>381429.9012014905</v>
      </c>
      <c r="M12" s="21">
        <f>+Demanda!M19*1000000</f>
        <v>396718.3184253452</v>
      </c>
    </row>
    <row r="13" spans="2:13" ht="15">
      <c r="B13" s="99"/>
      <c r="C13" s="100"/>
      <c r="D13" s="102"/>
      <c r="E13" s="102"/>
      <c r="F13" s="102"/>
      <c r="G13" s="102"/>
      <c r="H13" s="102"/>
      <c r="I13" s="102"/>
      <c r="J13" s="102"/>
      <c r="K13" s="102"/>
      <c r="L13" s="102"/>
      <c r="M13" s="102"/>
    </row>
    <row r="14" spans="2:13" ht="15">
      <c r="B14" s="99"/>
      <c r="C14" s="100"/>
      <c r="D14" s="102"/>
      <c r="E14" s="102"/>
      <c r="F14" s="102"/>
      <c r="G14" s="102"/>
      <c r="H14" s="102"/>
      <c r="I14" s="102"/>
      <c r="J14" s="102"/>
      <c r="K14" s="102"/>
      <c r="L14" s="102"/>
      <c r="M14" s="102"/>
    </row>
    <row r="15" spans="2:13" ht="15">
      <c r="B15" s="99"/>
      <c r="C15" s="100"/>
      <c r="D15" s="102"/>
      <c r="E15" s="102"/>
      <c r="F15" s="102"/>
      <c r="G15" s="102"/>
      <c r="H15" s="102"/>
      <c r="I15" s="102"/>
      <c r="J15" s="102"/>
      <c r="K15" s="102"/>
      <c r="L15" s="102"/>
      <c r="M15" s="102"/>
    </row>
    <row r="16" spans="2:13" ht="15.75">
      <c r="B16" s="92" t="s">
        <v>81</v>
      </c>
      <c r="C16" s="21">
        <f aca="true" t="shared" si="1" ref="C16:M16">+C17+C18</f>
        <v>12048555.858925648</v>
      </c>
      <c r="D16" s="21">
        <f>+D17+D18</f>
        <v>12768034.45568989</v>
      </c>
      <c r="E16" s="21">
        <f t="shared" si="1"/>
        <v>13530544.1752478</v>
      </c>
      <c r="F16" s="21">
        <f t="shared" si="1"/>
        <v>14338661.372120578</v>
      </c>
      <c r="G16" s="21">
        <f t="shared" si="1"/>
        <v>15195116.761176227</v>
      </c>
      <c r="H16" s="21">
        <f t="shared" si="1"/>
        <v>16102804.670394927</v>
      </c>
      <c r="I16" s="21">
        <f t="shared" si="1"/>
        <v>17064792.840643913</v>
      </c>
      <c r="J16" s="21">
        <f t="shared" si="1"/>
        <v>18084332.843816224</v>
      </c>
      <c r="K16" s="21">
        <f t="shared" si="1"/>
        <v>19164871.080214534</v>
      </c>
      <c r="L16" s="21">
        <f t="shared" si="1"/>
        <v>20310060.465260573</v>
      </c>
      <c r="M16" s="21">
        <f t="shared" si="1"/>
        <v>21523772.80962325</v>
      </c>
    </row>
    <row r="17" spans="2:13" ht="15.75">
      <c r="B17" s="22" t="s">
        <v>82</v>
      </c>
      <c r="C17" s="21">
        <f>+C11*IF('[1]Tablero de Control'!$B$7='[1]Tablero de Control'!$S$7,'[1]Opex'!$C$248,IF('[1]Tablero de Control'!$B$7='[1]Tablero de Control'!$S$8,'[1]Opex'!$C$252,IF('[1]Tablero de Control'!$B$7='[1]Tablero de Control'!$S$9,'[1]Opex'!$C$248,0)))</f>
        <v>11876141.650853278</v>
      </c>
      <c r="D17" s="21">
        <f>+D11*IF('[1]Tablero de Control'!$B$7='[1]Tablero de Control'!$S$7,'[1]Opex'!$C$248,IF('[1]Tablero de Control'!$B$7='[1]Tablero de Control'!$S$8,'[1]Opex'!$C$252,IF('[1]Tablero de Control'!$B$7='[1]Tablero de Control'!$S$9,'[1]Opex'!$C$248,0)))</f>
        <v>12588710.15332243</v>
      </c>
      <c r="E17" s="21">
        <f>+E11*IF('[1]Tablero de Control'!$B$7='[1]Tablero de Control'!$S$7,'[1]Opex'!$C$248,IF('[1]Tablero de Control'!$B$7='[1]Tablero de Control'!$S$8,'[1]Opex'!$C$252,IF('[1]Tablero de Control'!$B$7='[1]Tablero de Control'!$S$9,'[1]Opex'!$C$248,0)))</f>
        <v>13344032.766144808</v>
      </c>
      <c r="F17" s="21">
        <f>+F11*IF('[1]Tablero de Control'!$B$7='[1]Tablero de Control'!$S$7,'[1]Opex'!$C$248,IF('[1]Tablero de Control'!$B$7='[1]Tablero de Control'!$S$8,'[1]Opex'!$C$252,IF('[1]Tablero de Control'!$B$7='[1]Tablero de Control'!$S$9,'[1]Opex'!$C$248,0)))</f>
        <v>14144674.735953916</v>
      </c>
      <c r="G17" s="21">
        <f>+G11*IF('[1]Tablero de Control'!$B$7='[1]Tablero de Control'!$S$7,'[1]Opex'!$C$248,IF('[1]Tablero de Control'!$B$7='[1]Tablero de Control'!$S$8,'[1]Opex'!$C$252,IF('[1]Tablero de Control'!$B$7='[1]Tablero de Control'!$S$9,'[1]Opex'!$C$248,0)))</f>
        <v>14993355.22418199</v>
      </c>
      <c r="H17" s="21">
        <f>+H11*IF('[1]Tablero de Control'!$B$7='[1]Tablero de Control'!$S$7,'[1]Opex'!$C$248,IF('[1]Tablero de Control'!$B$7='[1]Tablero de Control'!$S$8,'[1]Opex'!$C$252,IF('[1]Tablero de Control'!$B$7='[1]Tablero de Control'!$S$9,'[1]Opex'!$C$248,0)))</f>
        <v>15892956.541948002</v>
      </c>
      <c r="I17" s="21">
        <f>+I11*IF('[1]Tablero de Control'!$B$7='[1]Tablero de Control'!$S$7,'[1]Opex'!$C$248,IF('[1]Tablero de Control'!$B$7='[1]Tablero de Control'!$S$8,'[1]Opex'!$C$252,IF('[1]Tablero de Control'!$B$7='[1]Tablero de Control'!$S$9,'[1]Opex'!$C$248,0)))</f>
        <v>16846533.931508057</v>
      </c>
      <c r="J17" s="21">
        <f>+J11*IF('[1]Tablero de Control'!$B$7='[1]Tablero de Control'!$S$7,'[1]Opex'!$C$248,IF('[1]Tablero de Control'!$B$7='[1]Tablero de Control'!$S$8,'[1]Opex'!$C$252,IF('[1]Tablero de Control'!$B$7='[1]Tablero de Control'!$S$9,'[1]Opex'!$C$248,0)))</f>
        <v>17857325.964264307</v>
      </c>
      <c r="K17" s="21">
        <f>+K11*IF('[1]Tablero de Control'!$B$7='[1]Tablero de Control'!$S$7,'[1]Opex'!$C$248,IF('[1]Tablero de Control'!$B$7='[1]Tablero de Control'!$S$8,'[1]Opex'!$C$252,IF('[1]Tablero de Control'!$B$7='[1]Tablero de Control'!$S$9,'[1]Opex'!$C$248,0)))</f>
        <v>18928765.51879788</v>
      </c>
      <c r="L17" s="21">
        <f>+L11*IF('[1]Tablero de Control'!$B$7='[1]Tablero de Control'!$S$7,'[1]Opex'!$C$248,IF('[1]Tablero de Control'!$B$7='[1]Tablero de Control'!$S$8,'[1]Opex'!$C$252,IF('[1]Tablero de Control'!$B$7='[1]Tablero de Control'!$S$9,'[1]Opex'!$C$248,0)))</f>
        <v>20064491.44640412</v>
      </c>
      <c r="M17" s="21">
        <f>+M11*IF('[1]Tablero de Control'!$B$7='[1]Tablero de Control'!$S$7,'[1]Opex'!$C$248,IF('[1]Tablero de Control'!$B$7='[1]Tablero de Control'!$S$8,'[1]Opex'!$C$252,IF('[1]Tablero de Control'!$B$7='[1]Tablero de Control'!$S$9,'[1]Opex'!$C$248,0)))</f>
        <v>21268360.92945544</v>
      </c>
    </row>
    <row r="18" spans="2:13" ht="15.75">
      <c r="B18" s="22" t="s">
        <v>179</v>
      </c>
      <c r="C18" s="21">
        <f>+C12*IF('[1]Tablero de Control'!$B$7='[1]Tablero de Control'!$S$7,'[1]Opex'!$D$248,IF('[1]Tablero de Control'!$B$7='[1]Tablero de Control'!$S$8,'[1]Opex'!$D$252,IF('[1]Tablero de Control'!$B$7='[1]Tablero de Control'!$S$9,'[1]Opex'!$D$256,0)))</f>
        <v>172414.20807237015</v>
      </c>
      <c r="D18" s="21">
        <f>+D12*IF('[1]Tablero de Control'!$B$7='[1]Tablero de Control'!$S$7,'[1]Opex'!$D$248,IF('[1]Tablero de Control'!$B$7='[1]Tablero de Control'!$S$8,'[1]Opex'!$D$252,IF('[1]Tablero de Control'!$B$7='[1]Tablero de Control'!$S$9,'[1]Opex'!$D$256,0)))</f>
        <v>179324.30236745995</v>
      </c>
      <c r="E18" s="21">
        <f>+E12*IF('[1]Tablero de Control'!$B$7='[1]Tablero de Control'!$S$7,'[1]Opex'!$D$248,IF('[1]Tablero de Control'!$B$7='[1]Tablero de Control'!$S$8,'[1]Opex'!$D$252,IF('[1]Tablero de Control'!$B$7='[1]Tablero de Control'!$S$9,'[1]Opex'!$D$256,0)))</f>
        <v>186511.40910299073</v>
      </c>
      <c r="F18" s="21">
        <f>+F12*IF('[1]Tablero de Control'!$B$7='[1]Tablero de Control'!$S$7,'[1]Opex'!$D$248,IF('[1]Tablero de Control'!$B$7='[1]Tablero de Control'!$S$8,'[1]Opex'!$D$252,IF('[1]Tablero de Control'!$B$7='[1]Tablero de Control'!$S$9,'[1]Opex'!$D$256,0)))</f>
        <v>193986.6361666627</v>
      </c>
      <c r="G18" s="21">
        <f>+G12*IF('[1]Tablero de Control'!$B$7='[1]Tablero de Control'!$S$7,'[1]Opex'!$D$248,IF('[1]Tablero de Control'!$B$7='[1]Tablero de Control'!$S$8,'[1]Opex'!$D$252,IF('[1]Tablero de Control'!$B$7='[1]Tablero de Control'!$S$9,'[1]Opex'!$D$256,0)))</f>
        <v>201761.5369942375</v>
      </c>
      <c r="H18" s="21">
        <f>+H12*IF('[1]Tablero de Control'!$B$7='[1]Tablero de Control'!$S$7,'[1]Opex'!$D$248,IF('[1]Tablero de Control'!$B$7='[1]Tablero de Control'!$S$8,'[1]Opex'!$D$252,IF('[1]Tablero de Control'!$B$7='[1]Tablero de Control'!$S$9,'[1]Opex'!$D$256,0)))</f>
        <v>209848.1284469255</v>
      </c>
      <c r="I18" s="21">
        <f>+I12*IF('[1]Tablero de Control'!$B$7='[1]Tablero de Control'!$S$7,'[1]Opex'!$D$248,IF('[1]Tablero de Control'!$B$7='[1]Tablero de Control'!$S$8,'[1]Opex'!$D$252,IF('[1]Tablero de Control'!$B$7='[1]Tablero de Control'!$S$9,'[1]Opex'!$D$256,0)))</f>
        <v>218258.90913585652</v>
      </c>
      <c r="J18" s="21">
        <f>+J12*IF('[1]Tablero de Control'!$B$7='[1]Tablero de Control'!$S$7,'[1]Opex'!$D$248,IF('[1]Tablero de Control'!$B$7='[1]Tablero de Control'!$S$8,'[1]Opex'!$D$252,IF('[1]Tablero de Control'!$B$7='[1]Tablero de Control'!$S$9,'[1]Opex'!$D$256,0)))</f>
        <v>227006.8795519168</v>
      </c>
      <c r="K18" s="21">
        <f>+K12*IF('[1]Tablero de Control'!$B$7='[1]Tablero de Control'!$S$7,'[1]Opex'!$D$248,IF('[1]Tablero de Control'!$B$7='[1]Tablero de Control'!$S$8,'[1]Opex'!$D$252,IF('[1]Tablero de Control'!$B$7='[1]Tablero de Control'!$S$9,'[1]Opex'!$D$256,0)))</f>
        <v>236105.56141665738</v>
      </c>
      <c r="L18" s="21">
        <f>+L12*IF('[1]Tablero de Control'!$B$7='[1]Tablero de Control'!$S$7,'[1]Opex'!$D$248,IF('[1]Tablero de Control'!$B$7='[1]Tablero de Control'!$S$8,'[1]Opex'!$D$252,IF('[1]Tablero de Control'!$B$7='[1]Tablero de Control'!$S$9,'[1]Opex'!$D$256,0)))</f>
        <v>245569.0188564518</v>
      </c>
      <c r="M18" s="21">
        <f>+M12*IF('[1]Tablero de Control'!$B$7='[1]Tablero de Control'!$S$7,'[1]Opex'!$D$248,IF('[1]Tablero de Control'!$B$7='[1]Tablero de Control'!$S$8,'[1]Opex'!$D$252,IF('[1]Tablero de Control'!$B$7='[1]Tablero de Control'!$S$9,'[1]Opex'!$D$256,0)))</f>
        <v>255411.8801678067</v>
      </c>
    </row>
    <row r="19" spans="2:13" ht="15">
      <c r="B19" s="99"/>
      <c r="C19" s="100"/>
      <c r="D19" s="102"/>
      <c r="E19" s="102"/>
      <c r="F19" s="102"/>
      <c r="G19" s="102"/>
      <c r="H19" s="102"/>
      <c r="I19" s="102"/>
      <c r="J19" s="102"/>
      <c r="K19" s="102"/>
      <c r="L19" s="102"/>
      <c r="M19" s="102"/>
    </row>
    <row r="20" spans="2:13" ht="15">
      <c r="B20" s="99"/>
      <c r="C20" s="100"/>
      <c r="D20" s="102"/>
      <c r="E20" s="102"/>
      <c r="F20" s="102"/>
      <c r="G20" s="102"/>
      <c r="H20" s="102"/>
      <c r="I20" s="102"/>
      <c r="J20" s="102"/>
      <c r="K20" s="102"/>
      <c r="L20" s="102"/>
      <c r="M20" s="102"/>
    </row>
    <row r="21" spans="2:13" ht="15">
      <c r="B21" s="99"/>
      <c r="C21" s="100"/>
      <c r="D21" s="102"/>
      <c r="E21" s="102"/>
      <c r="F21" s="102"/>
      <c r="G21" s="102"/>
      <c r="H21" s="102"/>
      <c r="I21" s="102"/>
      <c r="J21" s="102"/>
      <c r="K21" s="102"/>
      <c r="L21" s="102"/>
      <c r="M21" s="102"/>
    </row>
    <row r="22" spans="2:13" ht="15.75">
      <c r="B22" s="38" t="s">
        <v>144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2:13" ht="15.75">
      <c r="B23" s="22" t="s">
        <v>145</v>
      </c>
      <c r="C23" s="21">
        <f>C16</f>
        <v>12048555.858925648</v>
      </c>
      <c r="D23" s="21">
        <f>D16</f>
        <v>12768034.45568989</v>
      </c>
      <c r="E23" s="21">
        <f aca="true" t="shared" si="2" ref="E23:M23">E16</f>
        <v>13530544.1752478</v>
      </c>
      <c r="F23" s="21">
        <f t="shared" si="2"/>
        <v>14338661.372120578</v>
      </c>
      <c r="G23" s="21">
        <f t="shared" si="2"/>
        <v>15195116.761176227</v>
      </c>
      <c r="H23" s="21">
        <f t="shared" si="2"/>
        <v>16102804.670394927</v>
      </c>
      <c r="I23" s="21">
        <f t="shared" si="2"/>
        <v>17064792.840643913</v>
      </c>
      <c r="J23" s="21">
        <f t="shared" si="2"/>
        <v>18084332.843816224</v>
      </c>
      <c r="K23" s="21">
        <f t="shared" si="2"/>
        <v>19164871.080214534</v>
      </c>
      <c r="L23" s="21">
        <f t="shared" si="2"/>
        <v>20310060.465260573</v>
      </c>
      <c r="M23" s="21">
        <f t="shared" si="2"/>
        <v>21523772.80962325</v>
      </c>
    </row>
    <row r="24" spans="2:13" ht="15.75" hidden="1">
      <c r="B24" s="93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2:13" ht="15.75" hidden="1">
      <c r="B25" s="22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2:13" ht="15.75" hidden="1">
      <c r="B26" s="103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2:13" ht="15.75" hidden="1">
      <c r="B27" s="10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ht="15.75" hidden="1">
      <c r="B28" s="104"/>
      <c r="C28" s="21"/>
      <c r="D28" s="102"/>
      <c r="E28" s="102"/>
      <c r="F28" s="102"/>
      <c r="G28" s="102"/>
      <c r="H28" s="102"/>
      <c r="I28" s="102"/>
      <c r="J28" s="102"/>
      <c r="K28" s="102"/>
      <c r="L28" s="102"/>
      <c r="M28" s="102"/>
    </row>
    <row r="29" spans="2:13" ht="15.75" hidden="1">
      <c r="B29" s="104"/>
      <c r="C29" s="21"/>
      <c r="D29" s="102"/>
      <c r="E29" s="102"/>
      <c r="F29" s="102"/>
      <c r="G29" s="102"/>
      <c r="H29" s="102"/>
      <c r="I29" s="102"/>
      <c r="J29" s="102"/>
      <c r="K29" s="102"/>
      <c r="L29" s="102"/>
      <c r="M29" s="102"/>
    </row>
    <row r="30" spans="2:13" ht="15.75" hidden="1">
      <c r="B30" s="104"/>
      <c r="C30" s="21"/>
      <c r="D30" s="102"/>
      <c r="E30" s="102"/>
      <c r="F30" s="102"/>
      <c r="G30" s="102"/>
      <c r="H30" s="102"/>
      <c r="I30" s="102"/>
      <c r="J30" s="102"/>
      <c r="K30" s="102"/>
      <c r="L30" s="102"/>
      <c r="M30" s="102"/>
    </row>
    <row r="31" spans="2:13" ht="15.75" hidden="1">
      <c r="B31" s="22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2:13" ht="15.75" hidden="1">
      <c r="B32" s="10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2:13" ht="15.75" hidden="1">
      <c r="B33" s="10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2:13" ht="15.75" hidden="1">
      <c r="B34" s="104"/>
      <c r="C34" s="21"/>
      <c r="D34" s="102"/>
      <c r="E34" s="102"/>
      <c r="F34" s="102"/>
      <c r="G34" s="102"/>
      <c r="H34" s="102"/>
      <c r="I34" s="102"/>
      <c r="J34" s="102"/>
      <c r="K34" s="102"/>
      <c r="L34" s="102"/>
      <c r="M34" s="102"/>
    </row>
    <row r="35" spans="2:13" ht="15.75" hidden="1">
      <c r="B35" s="104"/>
      <c r="C35" s="21"/>
      <c r="D35" s="102"/>
      <c r="E35" s="102"/>
      <c r="F35" s="102"/>
      <c r="G35" s="102"/>
      <c r="H35" s="102"/>
      <c r="I35" s="102"/>
      <c r="J35" s="102"/>
      <c r="K35" s="102"/>
      <c r="L35" s="102"/>
      <c r="M35" s="102"/>
    </row>
    <row r="36" spans="2:13" ht="15.75">
      <c r="B36" s="104"/>
      <c r="C36" s="21"/>
      <c r="D36" s="102"/>
      <c r="E36" s="102"/>
      <c r="F36" s="102"/>
      <c r="G36" s="102"/>
      <c r="H36" s="102"/>
      <c r="I36" s="102"/>
      <c r="J36" s="102"/>
      <c r="K36" s="102"/>
      <c r="L36" s="102"/>
      <c r="M36" s="102"/>
    </row>
    <row r="37" ht="15.75">
      <c r="B37" s="93" t="s">
        <v>85</v>
      </c>
    </row>
    <row r="38" spans="2:13" ht="15.75">
      <c r="B38" s="22" t="s">
        <v>86</v>
      </c>
      <c r="C38" s="21">
        <f>IF('[1]Tablero de Control'!$B$7='[1]Tablero de Control'!$S$7,C23/12/'[1]Opex'!$C$278,IF('[1]Tablero de Control'!$B$7='[1]Tablero de Control'!$S$8,C23/12/'[1]Opex'!$C$278,IF('[1]Tablero de Control'!$B$7='[1]Tablero de Control'!$S$9,C23/12/'[1]Opex'!$C$278,0)))</f>
        <v>38617.16621450528</v>
      </c>
      <c r="D38" s="21">
        <f>IF('[1]Tablero de Control'!$B$7='[1]Tablero de Control'!$S$7,D23/12/'[1]Opex'!$C$278,IF('[1]Tablero de Control'!$B$7='[1]Tablero de Control'!$S$8,D23/12/'[1]Opex'!$C$278,IF('[1]Tablero de Control'!$B$7='[1]Tablero de Control'!$S$9,D23/12/'[1]Opex'!$C$278,0)))</f>
        <v>40923.187357980416</v>
      </c>
      <c r="E38" s="21">
        <f>IF('[1]Tablero de Control'!$B$7='[1]Tablero de Control'!$S$7,E23/12/'[1]Opex'!$C$278,IF('[1]Tablero de Control'!$B$7='[1]Tablero de Control'!$S$8,E23/12/'[1]Opex'!$C$278,IF('[1]Tablero de Control'!$B$7='[1]Tablero de Control'!$S$9,E23/12/'[1]Opex'!$C$278,0)))</f>
        <v>43367.12876681987</v>
      </c>
      <c r="F38" s="21">
        <f>IF('[1]Tablero de Control'!$B$7='[1]Tablero de Control'!$S$7,F23/12/'[1]Opex'!$C$278,IF('[1]Tablero de Control'!$B$7='[1]Tablero de Control'!$S$8,F23/12/'[1]Opex'!$C$278,IF('[1]Tablero de Control'!$B$7='[1]Tablero de Control'!$S$9,F23/12/'[1]Opex'!$C$278,0)))</f>
        <v>45957.24798756595</v>
      </c>
      <c r="G38" s="21">
        <f>IF('[1]Tablero de Control'!$B$7='[1]Tablero de Control'!$S$7,G23/12/'[1]Opex'!$C$278,IF('[1]Tablero de Control'!$B$7='[1]Tablero de Control'!$S$8,G23/12/'[1]Opex'!$C$278,IF('[1]Tablero de Control'!$B$7='[1]Tablero de Control'!$S$9,G23/12/'[1]Opex'!$C$278,0)))</f>
        <v>48702.297311462265</v>
      </c>
      <c r="H38" s="21">
        <f>IF('[1]Tablero de Control'!$B$7='[1]Tablero de Control'!$S$7,H23/12/'[1]Opex'!$C$278,IF('[1]Tablero de Control'!$B$7='[1]Tablero de Control'!$S$8,H23/12/'[1]Opex'!$C$278,IF('[1]Tablero de Control'!$B$7='[1]Tablero de Control'!$S$9,H23/12/'[1]Opex'!$C$278,0)))</f>
        <v>51611.553430752974</v>
      </c>
      <c r="I38" s="21">
        <f>IF('[1]Tablero de Control'!$B$7='[1]Tablero de Control'!$S$7,I23/12/'[1]Opex'!$C$278,IF('[1]Tablero de Control'!$B$7='[1]Tablero de Control'!$S$8,I23/12/'[1]Opex'!$C$278,IF('[1]Tablero de Control'!$B$7='[1]Tablero de Control'!$S$9,I23/12/'[1]Opex'!$C$278,0)))</f>
        <v>54694.84884821767</v>
      </c>
      <c r="J38" s="21">
        <f>IF('[1]Tablero de Control'!$B$7='[1]Tablero de Control'!$S$7,J23/12/'[1]Opex'!$C$278,IF('[1]Tablero de Control'!$B$7='[1]Tablero de Control'!$S$8,J23/12/'[1]Opex'!$C$278,IF('[1]Tablero de Control'!$B$7='[1]Tablero de Control'!$S$9,J23/12/'[1]Opex'!$C$278,0)))</f>
        <v>57962.60526864174</v>
      </c>
      <c r="K38" s="21">
        <f>IF('[1]Tablero de Control'!$B$7='[1]Tablero de Control'!$S$7,K23/12/'[1]Opex'!$C$278,IF('[1]Tablero de Control'!$B$7='[1]Tablero de Control'!$S$8,K23/12/'[1]Opex'!$C$278,IF('[1]Tablero de Control'!$B$7='[1]Tablero de Control'!$S$9,K23/12/'[1]Opex'!$C$278,0)))</f>
        <v>61425.868846841455</v>
      </c>
      <c r="L38" s="21">
        <f>IF('[1]Tablero de Control'!$B$7='[1]Tablero de Control'!$S$7,L23/12/'[1]Opex'!$C$278,IF('[1]Tablero de Control'!$B$7='[1]Tablero de Control'!$S$8,L23/12/'[1]Opex'!$C$278,IF('[1]Tablero de Control'!$B$7='[1]Tablero de Control'!$S$9,L23/12/'[1]Opex'!$C$278,0)))</f>
        <v>65096.34764506594</v>
      </c>
      <c r="M38" s="21">
        <f>IF('[1]Tablero de Control'!$B$7='[1]Tablero de Control'!$S$7,M23/12/'[1]Opex'!$C$278,IF('[1]Tablero de Control'!$B$7='[1]Tablero de Control'!$S$8,M23/12/'[1]Opex'!$C$278,IF('[1]Tablero de Control'!$B$7='[1]Tablero de Control'!$S$9,M23/12/'[1]Opex'!$C$278,0)))</f>
        <v>68986.45131289503</v>
      </c>
    </row>
    <row r="39" spans="2:13" ht="15.75">
      <c r="B39" s="22" t="s">
        <v>83</v>
      </c>
      <c r="C39" s="21">
        <f>IF('[1]Tablero de Control'!$B$7='[1]Tablero de Control'!$S$7,C38/Transporte!$C$99/'[1]Opex'!$B$270,IF('[1]Tablero de Control'!$B$7='[1]Tablero de Control'!$S$8,C38/Transporte!$C$99/'[1]Opex'!$B$272,IF('[1]Tablero de Control'!$B$7='[1]Tablero de Control'!$S$9,C38/Transporte!$C$99/'[1]Opex'!$B$272,0)))</f>
        <v>86.19903172880643</v>
      </c>
      <c r="D39" s="21">
        <f>IF('[1]Tablero de Control'!$B$7='[1]Tablero de Control'!$S$7,D38/$C$99/'[1]Opex'!$B$270*$C$100,IF('[1]Tablero de Control'!$B$7='[1]Tablero de Control'!$S$8,D38/$C$99/'[1]Opex'!$B$272*$C$100,IF('[1]Tablero de Control'!$B$7='[1]Tablero de Control'!$S$9,D38/$C$99/'[1]Opex'!$B$272*$C$100,0)))</f>
        <v>91.4502101380558</v>
      </c>
      <c r="E39" s="21">
        <f>IF('[1]Tablero de Control'!$B$7='[1]Tablero de Control'!$S$7,E38/$C$99/'[1]Opex'!$B$270*$C$100,IF('[1]Tablero de Control'!$B$7='[1]Tablero de Control'!$S$8,E38/$C$99/'[1]Opex'!$B$272*$C$100,IF('[1]Tablero de Control'!$B$7='[1]Tablero de Control'!$S$9,E38/$C$99/'[1]Opex'!$B$272*$C$100,0)))</f>
        <v>96.91163603942512</v>
      </c>
      <c r="F39" s="21">
        <f>IF('[1]Tablero de Control'!$B$7='[1]Tablero de Control'!$S$7,F38/$C$99/'[1]Opex'!$B$270*$C$100,IF('[1]Tablero de Control'!$B$7='[1]Tablero de Control'!$S$8,F38/$C$99/'[1]Opex'!$B$272*$C$100,IF('[1]Tablero de Control'!$B$7='[1]Tablero de Control'!$S$9,F38/$C$99/'[1]Opex'!$B$272*$C$100,0)))</f>
        <v>102.69972250854161</v>
      </c>
      <c r="G39" s="21">
        <f>IF('[1]Tablero de Control'!$B$7='[1]Tablero de Control'!$S$7,G38/$C$99/'[1]Opex'!$B$270*$C$100,IF('[1]Tablero de Control'!$B$7='[1]Tablero de Control'!$S$8,G38/$C$99/'[1]Opex'!$B$272*$C$100,IF('[1]Tablero de Control'!$B$7='[1]Tablero de Control'!$S$9,G38/$C$99/'[1]Opex'!$B$272*$C$100,0)))</f>
        <v>108.8340281117119</v>
      </c>
      <c r="H39" s="21">
        <f>IF('[1]Tablero de Control'!$B$7='[1]Tablero de Control'!$S$7,H38/$C$99/'[1]Opex'!$B$270*$C$100,IF('[1]Tablero de Control'!$B$7='[1]Tablero de Control'!$S$8,H38/$C$99/'[1]Opex'!$B$272*$C$100,IF('[1]Tablero de Control'!$B$7='[1]Tablero de Control'!$S$9,H38/$C$99/'[1]Opex'!$B$272*$C$100,0)))</f>
        <v>115.33528328343736</v>
      </c>
      <c r="I39" s="21">
        <f>IF('[1]Tablero de Control'!$B$7='[1]Tablero de Control'!$S$7,I38/$C$99/'[1]Opex'!$B$270*$C$100,IF('[1]Tablero de Control'!$B$7='[1]Tablero de Control'!$S$8,I38/$C$99/'[1]Opex'!$B$272*$C$100,IF('[1]Tablero de Control'!$B$7='[1]Tablero de Control'!$S$9,I38/$C$99/'[1]Opex'!$B$272*$C$100,0)))</f>
        <v>122.22546051665974</v>
      </c>
      <c r="J39" s="21">
        <f>IF('[1]Tablero de Control'!$B$7='[1]Tablero de Control'!$S$7,J38/$C$99/'[1]Opex'!$B$270*$C$100,IF('[1]Tablero de Control'!$B$7='[1]Tablero de Control'!$S$8,J38/$C$99/'[1]Opex'!$B$272*$C$100,IF('[1]Tablero de Control'!$B$7='[1]Tablero de Control'!$S$9,J38/$C$99/'[1]Opex'!$B$272*$C$100,0)))</f>
        <v>129.52784898199724</v>
      </c>
      <c r="K39" s="21">
        <f>IF('[1]Tablero de Control'!$B$7='[1]Tablero de Control'!$S$7,K38/$C$99/'[1]Opex'!$B$270*$C$100,IF('[1]Tablero de Control'!$B$7='[1]Tablero de Control'!$S$8,K38/$C$99/'[1]Opex'!$B$272*$C$100,IF('[1]Tablero de Control'!$B$7='[1]Tablero de Control'!$S$9,K38/$C$99/'[1]Opex'!$B$272*$C$100,0)))</f>
        <v>137.26713329578556</v>
      </c>
      <c r="L39" s="21">
        <f>IF('[1]Tablero de Control'!$B$7='[1]Tablero de Control'!$S$7,L38/$C$99/'[1]Opex'!$B$270*$C$100,IF('[1]Tablero de Control'!$B$7='[1]Tablero de Control'!$S$8,L38/$C$99/'[1]Opex'!$B$272*$C$100,IF('[1]Tablero de Control'!$B$7='[1]Tablero de Control'!$S$9,L38/$C$99/'[1]Opex'!$B$272*$C$100,0)))</f>
        <v>145.4694772253683</v>
      </c>
      <c r="M39" s="21">
        <f>IF('[1]Tablero de Control'!$B$7='[1]Tablero de Control'!$S$7,M38/$C$99/'[1]Opex'!$B$270*$C$100,IF('[1]Tablero de Control'!$B$7='[1]Tablero de Control'!$S$8,M38/$C$99/'[1]Opex'!$B$272*$C$100,IF('[1]Tablero de Control'!$B$7='[1]Tablero de Control'!$S$9,M38/$C$99/'[1]Opex'!$B$272*$C$100,0)))</f>
        <v>154.16261236095343</v>
      </c>
    </row>
    <row r="40" spans="2:13" ht="15.75">
      <c r="B40" s="22" t="s">
        <v>15</v>
      </c>
      <c r="C40" s="21">
        <f>IF('[1]Tablero de Control'!$B$7='[1]Tablero de Control'!$S$7,C39*'[1]Opex'!$C$276,IF('[1]Tablero de Control'!$B$7='[1]Tablero de Control'!$S$8,C39*'[1]Opex'!$C$277,IF('[1]Tablero de Control'!$B$7='[1]Tablero de Control'!$S$9,C39*'[1]Opex'!$C$277,0)))</f>
        <v>86.19903172880643</v>
      </c>
      <c r="D40" s="21">
        <f>IF('[1]Tablero de Control'!$B$7='[1]Tablero de Control'!$S$7,D39*'[1]Opex'!$C$276,IF('[1]Tablero de Control'!$B$7='[1]Tablero de Control'!$S$8,D39*'[1]Opex'!$C$277,IF('[1]Tablero de Control'!$B$7='[1]Tablero de Control'!$S$9,D39*'[1]Opex'!$C$277,0)))</f>
        <v>91.4502101380558</v>
      </c>
      <c r="E40" s="21">
        <f>IF('[1]Tablero de Control'!$B$7='[1]Tablero de Control'!$S$7,E39*'[1]Opex'!$C$276,IF('[1]Tablero de Control'!$B$7='[1]Tablero de Control'!$S$8,E39*'[1]Opex'!$C$277,IF('[1]Tablero de Control'!$B$7='[1]Tablero de Control'!$S$9,E39*'[1]Opex'!$C$277,0)))</f>
        <v>96.91163603942512</v>
      </c>
      <c r="F40" s="21">
        <f>IF('[1]Tablero de Control'!$B$7='[1]Tablero de Control'!$S$7,F39*'[1]Opex'!$C$276,IF('[1]Tablero de Control'!$B$7='[1]Tablero de Control'!$S$8,F39*'[1]Opex'!$C$277,IF('[1]Tablero de Control'!$B$7='[1]Tablero de Control'!$S$9,F39*'[1]Opex'!$C$277,0)))</f>
        <v>102.69972250854161</v>
      </c>
      <c r="G40" s="21">
        <f>IF('[1]Tablero de Control'!$B$7='[1]Tablero de Control'!$S$7,G39*'[1]Opex'!$C$276,IF('[1]Tablero de Control'!$B$7='[1]Tablero de Control'!$S$8,G39*'[1]Opex'!$C$277,IF('[1]Tablero de Control'!$B$7='[1]Tablero de Control'!$S$9,G39*'[1]Opex'!$C$277,0)))</f>
        <v>108.8340281117119</v>
      </c>
      <c r="H40" s="21">
        <f>IF('[1]Tablero de Control'!$B$7='[1]Tablero de Control'!$S$7,H39*'[1]Opex'!$C$276,IF('[1]Tablero de Control'!$B$7='[1]Tablero de Control'!$S$8,H39*'[1]Opex'!$C$277,IF('[1]Tablero de Control'!$B$7='[1]Tablero de Control'!$S$9,H39*'[1]Opex'!$C$277,0)))</f>
        <v>115.33528328343736</v>
      </c>
      <c r="I40" s="21">
        <f>IF('[1]Tablero de Control'!$B$7='[1]Tablero de Control'!$S$7,I39*'[1]Opex'!$C$276,IF('[1]Tablero de Control'!$B$7='[1]Tablero de Control'!$S$8,I39*'[1]Opex'!$C$277,IF('[1]Tablero de Control'!$B$7='[1]Tablero de Control'!$S$9,I39*'[1]Opex'!$C$277,0)))</f>
        <v>122.22546051665974</v>
      </c>
      <c r="J40" s="21">
        <f>IF('[1]Tablero de Control'!$B$7='[1]Tablero de Control'!$S$7,J39*'[1]Opex'!$C$276,IF('[1]Tablero de Control'!$B$7='[1]Tablero de Control'!$S$8,J39*'[1]Opex'!$C$277,IF('[1]Tablero de Control'!$B$7='[1]Tablero de Control'!$S$9,J39*'[1]Opex'!$C$277,0)))</f>
        <v>129.52784898199724</v>
      </c>
      <c r="K40" s="21">
        <f>IF('[1]Tablero de Control'!$B$7='[1]Tablero de Control'!$S$7,K39*'[1]Opex'!$C$276,IF('[1]Tablero de Control'!$B$7='[1]Tablero de Control'!$S$8,K39*'[1]Opex'!$C$277,IF('[1]Tablero de Control'!$B$7='[1]Tablero de Control'!$S$9,K39*'[1]Opex'!$C$277,0)))</f>
        <v>137.26713329578556</v>
      </c>
      <c r="L40" s="21">
        <f>IF('[1]Tablero de Control'!$B$7='[1]Tablero de Control'!$S$7,L39*'[1]Opex'!$C$276,IF('[1]Tablero de Control'!$B$7='[1]Tablero de Control'!$S$8,L39*'[1]Opex'!$C$277,IF('[1]Tablero de Control'!$B$7='[1]Tablero de Control'!$S$9,L39*'[1]Opex'!$C$277,0)))</f>
        <v>145.4694772253683</v>
      </c>
      <c r="M40" s="21">
        <f>IF('[1]Tablero de Control'!$B$7='[1]Tablero de Control'!$S$7,M39*'[1]Opex'!$C$276,IF('[1]Tablero de Control'!$B$7='[1]Tablero de Control'!$S$8,M39*'[1]Opex'!$C$277,IF('[1]Tablero de Control'!$B$7='[1]Tablero de Control'!$S$9,M39*'[1]Opex'!$C$277,0)))</f>
        <v>154.16261236095343</v>
      </c>
    </row>
    <row r="41" spans="2:13" ht="15.75">
      <c r="B41" s="22" t="s">
        <v>155</v>
      </c>
      <c r="C41" s="21">
        <f>+C40*'[1]Opex'!$D$276*12/1000000</f>
        <v>912.3770992948208</v>
      </c>
      <c r="D41" s="21">
        <f>+D40*'[1]Opex'!$D$276*12/1000000</f>
        <v>967.9584072146571</v>
      </c>
      <c r="E41" s="21">
        <f>+E40*'[1]Opex'!$D$276*12/1000000</f>
        <v>1025.7650881247366</v>
      </c>
      <c r="F41" s="21">
        <f>+F40*'[1]Opex'!$D$276*12/1000000</f>
        <v>1087.029320880559</v>
      </c>
      <c r="G41" s="21">
        <f>+G40*'[1]Opex'!$D$276*12/1000000</f>
        <v>1151.958123909539</v>
      </c>
      <c r="H41" s="21">
        <f>+H40*'[1]Opex'!$D$276*12/1000000</f>
        <v>1220.7709193248738</v>
      </c>
      <c r="I41" s="21">
        <f>+I40*'[1]Opex'!$D$276*12/1000000</f>
        <v>1293.7002758570056</v>
      </c>
      <c r="J41" s="21">
        <f>+J40*'[1]Opex'!$D$276*12/1000000</f>
        <v>1370.9926986639089</v>
      </c>
      <c r="K41" s="21">
        <f>+K40*'[1]Opex'!$D$276*12/1000000</f>
        <v>1452.909463054574</v>
      </c>
      <c r="L41" s="21">
        <f>+L40*'[1]Opex'!$D$276*12/1000000</f>
        <v>1539.7275004709998</v>
      </c>
      <c r="M41" s="21">
        <f>+M40*'[1]Opex'!$D$276*12/1000000</f>
        <v>1631.740337039006</v>
      </c>
    </row>
    <row r="42" spans="2:13" ht="15.75">
      <c r="B42" s="22" t="s">
        <v>141</v>
      </c>
      <c r="C42" s="21">
        <f>IF('[1]Tablero de Control'!$B$7='[1]Tablero de Control'!$S$7,C39*'[1]Opex'!$D$270,IF('[1]Tablero de Control'!$B$7='[1]Tablero de Control'!$S$8,C39*'[1]Opex'!$D$272,IF('[1]Tablero de Control'!$B$7='[1]Tablero de Control'!$S$9,C39*'[1]Opex'!$D$272,0)))*12/1000000</f>
        <v>656.725292797835</v>
      </c>
      <c r="D42" s="21">
        <f>IF('[1]Tablero de Control'!$B$7='[1]Tablero de Control'!$S$7,D39*'[1]Opex'!$D$270,IF('[1]Tablero de Control'!$B$7='[1]Tablero de Control'!$S$8,D39*'[1]Opex'!$D$272,IF('[1]Tablero de Control'!$B$7='[1]Tablero de Control'!$S$9,D39*'[1]Opex'!$D$272,0)))*12/1000000</f>
        <v>696.7324902011383</v>
      </c>
      <c r="E42" s="21">
        <f>IF('[1]Tablero de Control'!$B$7='[1]Tablero de Control'!$S$7,E39*'[1]Opex'!$D$270,IF('[1]Tablero de Control'!$B$7='[1]Tablero de Control'!$S$8,E39*'[1]Opex'!$D$272,IF('[1]Tablero de Control'!$B$7='[1]Tablero de Control'!$S$9,E39*'[1]Opex'!$D$272,0)))*12/1000000</f>
        <v>738.3415019526223</v>
      </c>
      <c r="F42" s="21">
        <f>IF('[1]Tablero de Control'!$B$7='[1]Tablero de Control'!$S$7,F39*'[1]Opex'!$D$270,IF('[1]Tablero de Control'!$B$7='[1]Tablero de Control'!$S$8,F39*'[1]Opex'!$D$272,IF('[1]Tablero de Control'!$B$7='[1]Tablero de Control'!$S$9,F39*'[1]Opex'!$D$272,0)))*12/1000000</f>
        <v>782.4392453371272</v>
      </c>
      <c r="G42" s="21">
        <f>IF('[1]Tablero de Control'!$B$7='[1]Tablero de Control'!$S$7,G39*'[1]Opex'!$D$270,IF('[1]Tablero de Control'!$B$7='[1]Tablero de Control'!$S$8,G39*'[1]Opex'!$D$272,IF('[1]Tablero de Control'!$B$7='[1]Tablero de Control'!$S$9,G39*'[1]Opex'!$D$272,0)))*12/1000000</f>
        <v>829.1747313693576</v>
      </c>
      <c r="H42" s="21">
        <f>IF('[1]Tablero de Control'!$B$7='[1]Tablero de Control'!$S$7,H39*'[1]Opex'!$D$270,IF('[1]Tablero de Control'!$B$7='[1]Tablero de Control'!$S$8,H39*'[1]Opex'!$D$272,IF('[1]Tablero de Control'!$B$7='[1]Tablero de Control'!$S$9,H39*'[1]Opex'!$D$272,0)))*12/1000000</f>
        <v>878.7058991861536</v>
      </c>
      <c r="I42" s="21">
        <f>IF('[1]Tablero de Control'!$B$7='[1]Tablero de Control'!$S$7,I39*'[1]Opex'!$D$270,IF('[1]Tablero de Control'!$B$7='[1]Tablero de Control'!$S$8,I39*'[1]Opex'!$D$272,IF('[1]Tablero de Control'!$B$7='[1]Tablero de Control'!$S$9,I39*'[1]Opex'!$D$272,0)))*12/1000000</f>
        <v>931.2001508055113</v>
      </c>
      <c r="J42" s="21">
        <f>IF('[1]Tablero de Control'!$B$7='[1]Tablero de Control'!$S$7,J39*'[1]Opex'!$D$270,IF('[1]Tablero de Control'!$B$7='[1]Tablero de Control'!$S$8,J39*'[1]Opex'!$D$272,IF('[1]Tablero de Control'!$B$7='[1]Tablero de Control'!$S$9,J39*'[1]Opex'!$D$272,0)))*12/1000000</f>
        <v>986.8349196287863</v>
      </c>
      <c r="K42" s="21">
        <f>IF('[1]Tablero de Control'!$B$7='[1]Tablero de Control'!$S$7,K39*'[1]Opex'!$D$270,IF('[1]Tablero de Control'!$B$7='[1]Tablero de Control'!$S$8,K39*'[1]Opex'!$D$272,IF('[1]Tablero de Control'!$B$7='[1]Tablero de Control'!$S$9,K39*'[1]Opex'!$D$272,0)))*12/1000000</f>
        <v>1045.798270551437</v>
      </c>
      <c r="L42" s="21">
        <f>IF('[1]Tablero de Control'!$B$7='[1]Tablero de Control'!$S$7,L39*'[1]Opex'!$D$270,IF('[1]Tablero de Control'!$B$7='[1]Tablero de Control'!$S$8,L39*'[1]Opex'!$D$272,IF('[1]Tablero de Control'!$B$7='[1]Tablero de Control'!$S$9,L39*'[1]Opex'!$D$272,0)))*12/1000000</f>
        <v>1108.2895376892282</v>
      </c>
      <c r="M42" s="21">
        <f>IF('[1]Tablero de Control'!$B$7='[1]Tablero de Control'!$S$7,M39*'[1]Opex'!$D$270,IF('[1]Tablero de Control'!$B$7='[1]Tablero de Control'!$S$8,M39*'[1]Opex'!$D$272,IF('[1]Tablero de Control'!$B$7='[1]Tablero de Control'!$S$9,M39*'[1]Opex'!$D$272,0)))*12/1000000</f>
        <v>1174.519999943254</v>
      </c>
    </row>
    <row r="43" spans="2:13" ht="15.75">
      <c r="B43" s="22" t="s">
        <v>84</v>
      </c>
      <c r="C43" s="21">
        <f>+C41+C42</f>
        <v>1569.102392092656</v>
      </c>
      <c r="D43" s="21">
        <f aca="true" t="shared" si="3" ref="D43:M43">+D41+D42</f>
        <v>1664.6908974157955</v>
      </c>
      <c r="E43" s="21">
        <f t="shared" si="3"/>
        <v>1764.1065900773588</v>
      </c>
      <c r="F43" s="21">
        <f t="shared" si="3"/>
        <v>1869.4685662176862</v>
      </c>
      <c r="G43" s="21">
        <f t="shared" si="3"/>
        <v>1981.1328552788964</v>
      </c>
      <c r="H43" s="21">
        <f t="shared" si="3"/>
        <v>2099.4768185110274</v>
      </c>
      <c r="I43" s="21">
        <f t="shared" si="3"/>
        <v>2224.900426662517</v>
      </c>
      <c r="J43" s="21">
        <f t="shared" si="3"/>
        <v>2357.827618292695</v>
      </c>
      <c r="K43" s="21">
        <f t="shared" si="3"/>
        <v>2498.707733606011</v>
      </c>
      <c r="L43" s="21">
        <f t="shared" si="3"/>
        <v>2648.017038160228</v>
      </c>
      <c r="M43" s="21">
        <f t="shared" si="3"/>
        <v>2806.26033698226</v>
      </c>
    </row>
    <row r="44" spans="2:13" ht="15.75">
      <c r="B44" s="103" t="s">
        <v>82</v>
      </c>
      <c r="C44" s="21"/>
      <c r="D44" s="21">
        <f aca="true" t="shared" si="4" ref="D44:M44">D43/D16*D17</f>
        <v>1641.310671205369</v>
      </c>
      <c r="E44" s="21">
        <f t="shared" si="4"/>
        <v>1739.78931195006</v>
      </c>
      <c r="F44" s="21">
        <f t="shared" si="4"/>
        <v>1844.1766711677753</v>
      </c>
      <c r="G44" s="21">
        <f t="shared" si="4"/>
        <v>1954.827271968597</v>
      </c>
      <c r="H44" s="21">
        <f t="shared" si="4"/>
        <v>2072.116908849313</v>
      </c>
      <c r="I44" s="21">
        <f t="shared" si="4"/>
        <v>2196.4439229947625</v>
      </c>
      <c r="J44" s="21">
        <f t="shared" si="4"/>
        <v>2328.2305579658073</v>
      </c>
      <c r="K44" s="21">
        <f t="shared" si="4"/>
        <v>2467.924391010597</v>
      </c>
      <c r="L44" s="21">
        <f t="shared" si="4"/>
        <v>2615.9998540120846</v>
      </c>
      <c r="M44" s="21">
        <f t="shared" si="4"/>
        <v>2772.9598447661124</v>
      </c>
    </row>
    <row r="45" spans="2:13" ht="15.75">
      <c r="B45" s="103" t="s">
        <v>179</v>
      </c>
      <c r="C45" s="21"/>
      <c r="D45" s="21">
        <f aca="true" t="shared" si="5" ref="D45:M45">D43/D16*D18</f>
        <v>23.380226210426418</v>
      </c>
      <c r="E45" s="21">
        <f t="shared" si="5"/>
        <v>24.317278127298557</v>
      </c>
      <c r="F45" s="21">
        <f t="shared" si="5"/>
        <v>25.291895049910746</v>
      </c>
      <c r="G45" s="21">
        <f t="shared" si="5"/>
        <v>26.305583310299692</v>
      </c>
      <c r="H45" s="21">
        <f t="shared" si="5"/>
        <v>27.359909661714813</v>
      </c>
      <c r="I45" s="21">
        <f t="shared" si="5"/>
        <v>28.456503667755</v>
      </c>
      <c r="J45" s="21">
        <f t="shared" si="5"/>
        <v>29.597060326888105</v>
      </c>
      <c r="K45" s="21">
        <f t="shared" si="5"/>
        <v>30.783342595414254</v>
      </c>
      <c r="L45" s="21">
        <f t="shared" si="5"/>
        <v>32.01718414814339</v>
      </c>
      <c r="M45" s="21">
        <f t="shared" si="5"/>
        <v>33.3004922161473</v>
      </c>
    </row>
    <row r="46" spans="2:13" ht="15.75">
      <c r="B46" s="104"/>
      <c r="C46" s="21"/>
      <c r="D46" s="102"/>
      <c r="E46" s="102"/>
      <c r="F46" s="102"/>
      <c r="G46" s="102"/>
      <c r="H46" s="102"/>
      <c r="I46" s="102"/>
      <c r="J46" s="102"/>
      <c r="K46" s="102"/>
      <c r="L46" s="102"/>
      <c r="M46" s="102"/>
    </row>
    <row r="47" spans="2:13" ht="15.75">
      <c r="B47" s="104"/>
      <c r="C47" s="21"/>
      <c r="D47" s="102"/>
      <c r="E47" s="102"/>
      <c r="F47" s="102"/>
      <c r="G47" s="102"/>
      <c r="H47" s="102"/>
      <c r="I47" s="102"/>
      <c r="J47" s="102"/>
      <c r="K47" s="102"/>
      <c r="L47" s="102"/>
      <c r="M47" s="102"/>
    </row>
    <row r="48" spans="2:13" ht="15.75">
      <c r="B48" s="104"/>
      <c r="C48" s="21"/>
      <c r="D48" s="102"/>
      <c r="E48" s="102"/>
      <c r="F48" s="102"/>
      <c r="G48" s="102"/>
      <c r="H48" s="102"/>
      <c r="I48" s="102"/>
      <c r="J48" s="102"/>
      <c r="K48" s="102"/>
      <c r="L48" s="102"/>
      <c r="M48" s="102"/>
    </row>
    <row r="49" spans="2:13" ht="15.75">
      <c r="B49" s="93" t="s">
        <v>180</v>
      </c>
      <c r="C49" s="21"/>
      <c r="D49" s="105">
        <f>(D11*D50+D12*D51)/D10</f>
        <v>4.987989433121695</v>
      </c>
      <c r="E49" s="105">
        <f aca="true" t="shared" si="6" ref="E49:M49">(E11*E50+E12*E51)/E10</f>
        <v>4.988214622445455</v>
      </c>
      <c r="F49" s="105">
        <f t="shared" si="6"/>
        <v>4.988435595286164</v>
      </c>
      <c r="G49" s="105">
        <f t="shared" si="6"/>
        <v>4.988652430288741</v>
      </c>
      <c r="H49" s="105">
        <f t="shared" si="6"/>
        <v>4.988865204643941</v>
      </c>
      <c r="I49" s="105">
        <f t="shared" si="6"/>
        <v>4.989073994123386</v>
      </c>
      <c r="J49" s="105">
        <f t="shared" si="6"/>
        <v>4.989278873079333</v>
      </c>
      <c r="K49" s="105">
        <f t="shared" si="6"/>
        <v>4.989479914496584</v>
      </c>
      <c r="L49" s="105">
        <f t="shared" si="6"/>
        <v>4.989677190008625</v>
      </c>
      <c r="M49" s="105">
        <f t="shared" si="6"/>
        <v>4.989870769922223</v>
      </c>
    </row>
    <row r="50" spans="2:13" ht="15.75">
      <c r="B50" s="103" t="s">
        <v>82</v>
      </c>
      <c r="C50" s="21"/>
      <c r="D50" s="105">
        <f aca="true" t="shared" si="7" ref="D50:M50">$C$93</f>
        <v>5</v>
      </c>
      <c r="E50" s="105">
        <f t="shared" si="7"/>
        <v>5</v>
      </c>
      <c r="F50" s="105">
        <f t="shared" si="7"/>
        <v>5</v>
      </c>
      <c r="G50" s="105">
        <f t="shared" si="7"/>
        <v>5</v>
      </c>
      <c r="H50" s="105">
        <f t="shared" si="7"/>
        <v>5</v>
      </c>
      <c r="I50" s="105">
        <f t="shared" si="7"/>
        <v>5</v>
      </c>
      <c r="J50" s="105">
        <f t="shared" si="7"/>
        <v>5</v>
      </c>
      <c r="K50" s="105">
        <f t="shared" si="7"/>
        <v>5</v>
      </c>
      <c r="L50" s="105">
        <f t="shared" si="7"/>
        <v>5</v>
      </c>
      <c r="M50" s="105">
        <f t="shared" si="7"/>
        <v>5</v>
      </c>
    </row>
    <row r="51" spans="2:13" ht="15.75">
      <c r="B51" s="103" t="s">
        <v>179</v>
      </c>
      <c r="C51" s="21"/>
      <c r="D51" s="105">
        <f aca="true" t="shared" si="8" ref="D51:M51">(D13*D52+D14*D53+D15*D54)/D12</f>
        <v>0</v>
      </c>
      <c r="E51" s="105">
        <f t="shared" si="8"/>
        <v>0</v>
      </c>
      <c r="F51" s="105">
        <f t="shared" si="8"/>
        <v>0</v>
      </c>
      <c r="G51" s="105">
        <f t="shared" si="8"/>
        <v>0</v>
      </c>
      <c r="H51" s="105">
        <f t="shared" si="8"/>
        <v>0</v>
      </c>
      <c r="I51" s="105">
        <f t="shared" si="8"/>
        <v>0</v>
      </c>
      <c r="J51" s="105">
        <f t="shared" si="8"/>
        <v>0</v>
      </c>
      <c r="K51" s="105">
        <f t="shared" si="8"/>
        <v>0</v>
      </c>
      <c r="L51" s="105">
        <f t="shared" si="8"/>
        <v>0</v>
      </c>
      <c r="M51" s="105">
        <f t="shared" si="8"/>
        <v>0</v>
      </c>
    </row>
    <row r="52" spans="2:13" ht="15">
      <c r="B52" s="104"/>
      <c r="C52" s="106"/>
      <c r="D52" s="107"/>
      <c r="E52" s="107"/>
      <c r="F52" s="107"/>
      <c r="G52" s="107"/>
      <c r="H52" s="107"/>
      <c r="I52" s="107"/>
      <c r="J52" s="107"/>
      <c r="K52" s="107"/>
      <c r="L52" s="107"/>
      <c r="M52" s="107"/>
    </row>
    <row r="53" spans="2:13" ht="15">
      <c r="B53" s="104"/>
      <c r="C53" s="106"/>
      <c r="D53" s="107"/>
      <c r="E53" s="107"/>
      <c r="F53" s="107"/>
      <c r="G53" s="107"/>
      <c r="H53" s="107"/>
      <c r="I53" s="107"/>
      <c r="J53" s="107"/>
      <c r="K53" s="107"/>
      <c r="L53" s="107"/>
      <c r="M53" s="107"/>
    </row>
    <row r="54" spans="2:13" ht="15">
      <c r="B54" s="104"/>
      <c r="C54" s="106"/>
      <c r="D54" s="107"/>
      <c r="E54" s="107"/>
      <c r="F54" s="107"/>
      <c r="G54" s="107"/>
      <c r="H54" s="107"/>
      <c r="I54" s="107"/>
      <c r="J54" s="107"/>
      <c r="K54" s="107"/>
      <c r="L54" s="107"/>
      <c r="M54" s="107"/>
    </row>
    <row r="55" spans="2:13" ht="15.75">
      <c r="B55" s="93" t="s">
        <v>181</v>
      </c>
      <c r="C55" s="21"/>
      <c r="D55" s="105">
        <f>('[1]Opex'!$C$278/4)/D49</f>
        <v>1.3031302666437337</v>
      </c>
      <c r="E55" s="105">
        <f>('[1]Opex'!$C$278/4)/E49</f>
        <v>1.3030714377749442</v>
      </c>
      <c r="F55" s="105">
        <f>('[1]Opex'!$C$278/4)/F49</f>
        <v>1.3030137155909545</v>
      </c>
      <c r="G55" s="105">
        <f>('[1]Opex'!$C$278/4)/G49</f>
        <v>1.3029570792575307</v>
      </c>
      <c r="H55" s="105">
        <f>('[1]Opex'!$C$278/4)/H49</f>
        <v>1.3029015083328777</v>
      </c>
      <c r="I55" s="105">
        <f>('[1]Opex'!$C$278/4)/I49</f>
        <v>1.3028469827579885</v>
      </c>
      <c r="J55" s="105">
        <f>('[1]Opex'!$C$278/4)/J49</f>
        <v>1.302793482856224</v>
      </c>
      <c r="K55" s="105">
        <f>('[1]Opex'!$C$278/4)/K49</f>
        <v>1.302740989319289</v>
      </c>
      <c r="L55" s="105">
        <f>('[1]Opex'!$C$278/4)/L49</f>
        <v>1.3026894832025724</v>
      </c>
      <c r="M55" s="105">
        <f>('[1]Opex'!$C$278/4)/M49</f>
        <v>1.3026389459182959</v>
      </c>
    </row>
    <row r="56" ht="15.75">
      <c r="B56" s="38" t="s">
        <v>142</v>
      </c>
    </row>
    <row r="57" spans="2:13" ht="15.75">
      <c r="B57" s="22" t="s">
        <v>146</v>
      </c>
      <c r="C57" s="21">
        <f>IF('[1]Tablero de Control'!$B$7='[1]Tablero de Control'!$S$7,0,IF('[1]Tablero de Control'!$B$7='[1]Tablero de Control'!$S$8,C18*'[1]Opex'!$C$313,IF('[1]Tablero de Control'!$B$7='[1]Tablero de Control'!$S$9,+C18*'[1]Opex'!$C$313,0)))</f>
        <v>0</v>
      </c>
      <c r="D57" s="21">
        <f>IF('[1]Tablero de Control'!$B$7='[1]Tablero de Control'!$S$7,0,IF('[1]Tablero de Control'!$B$7='[1]Tablero de Control'!$S$8,D18*'[1]Opex'!$C$313,IF('[1]Tablero de Control'!$B$7='[1]Tablero de Control'!$S$9,+D18*'[1]Opex'!$C$313,0)))</f>
        <v>0</v>
      </c>
      <c r="E57" s="21">
        <f>IF('[1]Tablero de Control'!$B$7='[1]Tablero de Control'!$S$7,0,IF('[1]Tablero de Control'!$B$7='[1]Tablero de Control'!$S$8,E18*'[1]Opex'!$C$313,IF('[1]Tablero de Control'!$B$7='[1]Tablero de Control'!$S$9,+E18*'[1]Opex'!$C$313,0)))</f>
        <v>0</v>
      </c>
      <c r="F57" s="21">
        <f>IF('[1]Tablero de Control'!$B$7='[1]Tablero de Control'!$S$7,0,IF('[1]Tablero de Control'!$B$7='[1]Tablero de Control'!$S$8,F18*'[1]Opex'!$C$313,IF('[1]Tablero de Control'!$B$7='[1]Tablero de Control'!$S$9,+F18*'[1]Opex'!$C$313,0)))</f>
        <v>0</v>
      </c>
      <c r="G57" s="21">
        <f>IF('[1]Tablero de Control'!$B$7='[1]Tablero de Control'!$S$7,0,IF('[1]Tablero de Control'!$B$7='[1]Tablero de Control'!$S$8,G18*'[1]Opex'!$C$313,IF('[1]Tablero de Control'!$B$7='[1]Tablero de Control'!$S$9,+G18*'[1]Opex'!$C$313,0)))</f>
        <v>0</v>
      </c>
      <c r="H57" s="21">
        <f>IF('[1]Tablero de Control'!$B$7='[1]Tablero de Control'!$S$7,0,IF('[1]Tablero de Control'!$B$7='[1]Tablero de Control'!$S$8,H18*'[1]Opex'!$C$313,IF('[1]Tablero de Control'!$B$7='[1]Tablero de Control'!$S$9,+H18*'[1]Opex'!$C$313,0)))</f>
        <v>0</v>
      </c>
      <c r="I57" s="21">
        <f>IF('[1]Tablero de Control'!$B$7='[1]Tablero de Control'!$S$7,0,IF('[1]Tablero de Control'!$B$7='[1]Tablero de Control'!$S$8,I18*'[1]Opex'!$C$313,IF('[1]Tablero de Control'!$B$7='[1]Tablero de Control'!$S$9,+I18*'[1]Opex'!$C$313,0)))</f>
        <v>0</v>
      </c>
      <c r="J57" s="21">
        <f>IF('[1]Tablero de Control'!$B$7='[1]Tablero de Control'!$S$7,0,IF('[1]Tablero de Control'!$B$7='[1]Tablero de Control'!$S$8,J18*'[1]Opex'!$C$313,IF('[1]Tablero de Control'!$B$7='[1]Tablero de Control'!$S$9,+J18*'[1]Opex'!$C$313,0)))</f>
        <v>0</v>
      </c>
      <c r="K57" s="21">
        <f>IF('[1]Tablero de Control'!$B$7='[1]Tablero de Control'!$S$7,0,IF('[1]Tablero de Control'!$B$7='[1]Tablero de Control'!$S$8,K18*'[1]Opex'!$C$313,IF('[1]Tablero de Control'!$B$7='[1]Tablero de Control'!$S$9,+K18*'[1]Opex'!$C$313,0)))</f>
        <v>0</v>
      </c>
      <c r="L57" s="21">
        <f>IF('[1]Tablero de Control'!$B$7='[1]Tablero de Control'!$S$7,0,IF('[1]Tablero de Control'!$B$7='[1]Tablero de Control'!$S$8,L18*'[1]Opex'!$C$313,IF('[1]Tablero de Control'!$B$7='[1]Tablero de Control'!$S$9,+L18*'[1]Opex'!$C$313,0)))</f>
        <v>0</v>
      </c>
      <c r="M57" s="21">
        <f>IF('[1]Tablero de Control'!$B$7='[1]Tablero de Control'!$S$7,0,IF('[1]Tablero de Control'!$B$7='[1]Tablero de Control'!$S$8,M18*'[1]Opex'!$C$313,IF('[1]Tablero de Control'!$B$7='[1]Tablero de Control'!$S$9,+M18*'[1]Opex'!$C$313,0)))</f>
        <v>0</v>
      </c>
    </row>
    <row r="58" spans="2:13" ht="15.75" hidden="1">
      <c r="B58" s="93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2:13" ht="15.75" hidden="1">
      <c r="B59" s="22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</row>
    <row r="60" spans="2:13" ht="15.75" hidden="1">
      <c r="B60" s="103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2:13" ht="15.75" hidden="1">
      <c r="B61" s="103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2:13" ht="15.75" hidden="1">
      <c r="B62" s="104"/>
      <c r="C62" s="21"/>
      <c r="D62" s="106"/>
      <c r="E62" s="106"/>
      <c r="F62" s="106"/>
      <c r="G62" s="106"/>
      <c r="H62" s="106"/>
      <c r="I62" s="106"/>
      <c r="J62" s="106"/>
      <c r="K62" s="106"/>
      <c r="L62" s="106"/>
      <c r="M62" s="106"/>
    </row>
    <row r="63" spans="2:13" ht="15.75" hidden="1">
      <c r="B63" s="104"/>
      <c r="C63" s="21"/>
      <c r="D63" s="106"/>
      <c r="E63" s="106"/>
      <c r="F63" s="106"/>
      <c r="G63" s="106"/>
      <c r="H63" s="106"/>
      <c r="I63" s="106"/>
      <c r="J63" s="106"/>
      <c r="K63" s="106"/>
      <c r="L63" s="106"/>
      <c r="M63" s="106"/>
    </row>
    <row r="64" spans="2:13" ht="15.75" hidden="1">
      <c r="B64" s="104"/>
      <c r="C64" s="21"/>
      <c r="D64" s="106"/>
      <c r="E64" s="106"/>
      <c r="F64" s="106"/>
      <c r="G64" s="106"/>
      <c r="H64" s="106"/>
      <c r="I64" s="106"/>
      <c r="J64" s="106"/>
      <c r="K64" s="106"/>
      <c r="L64" s="106"/>
      <c r="M64" s="106"/>
    </row>
    <row r="65" ht="15.75">
      <c r="B65" s="93" t="s">
        <v>85</v>
      </c>
    </row>
    <row r="66" spans="2:13" ht="15.75">
      <c r="B66" s="22" t="s">
        <v>84</v>
      </c>
      <c r="C66" s="21">
        <f>+C57*'[1]Opex'!$C$316/1000000</f>
        <v>0</v>
      </c>
      <c r="D66" s="21">
        <f>+D57*'[1]Opex'!$C$316/1000000</f>
        <v>0</v>
      </c>
      <c r="E66" s="21">
        <f>+E57*'[1]Opex'!$C$316/1000000</f>
        <v>0</v>
      </c>
      <c r="F66" s="21">
        <f>+F57*'[1]Opex'!$C$316/1000000</f>
        <v>0</v>
      </c>
      <c r="G66" s="21">
        <f>+G57*'[1]Opex'!$C$316/1000000</f>
        <v>0</v>
      </c>
      <c r="H66" s="21">
        <f>+H57*'[1]Opex'!$C$316/1000000</f>
        <v>0</v>
      </c>
      <c r="I66" s="21">
        <f>+I57*'[1]Opex'!$C$316/1000000</f>
        <v>0</v>
      </c>
      <c r="J66" s="21">
        <f>+J57*'[1]Opex'!$C$316/1000000</f>
        <v>0</v>
      </c>
      <c r="K66" s="21">
        <f>+K57*'[1]Opex'!$C$316/1000000</f>
        <v>0</v>
      </c>
      <c r="L66" s="21">
        <f>+L57*'[1]Opex'!$C$316/1000000</f>
        <v>0</v>
      </c>
      <c r="M66" s="21">
        <f>+M57*'[1]Opex'!$C$316/1000000</f>
        <v>0</v>
      </c>
    </row>
    <row r="67" spans="2:13" ht="15.75">
      <c r="B67" s="103" t="s">
        <v>82</v>
      </c>
      <c r="C67" s="21"/>
      <c r="D67" s="21">
        <f aca="true" t="shared" si="9" ref="D67:M67">D17/D16*D66</f>
        <v>0</v>
      </c>
      <c r="E67" s="21">
        <f t="shared" si="9"/>
        <v>0</v>
      </c>
      <c r="F67" s="21">
        <f t="shared" si="9"/>
        <v>0</v>
      </c>
      <c r="G67" s="21">
        <f t="shared" si="9"/>
        <v>0</v>
      </c>
      <c r="H67" s="21">
        <f t="shared" si="9"/>
        <v>0</v>
      </c>
      <c r="I67" s="21">
        <f t="shared" si="9"/>
        <v>0</v>
      </c>
      <c r="J67" s="21">
        <f t="shared" si="9"/>
        <v>0</v>
      </c>
      <c r="K67" s="21">
        <f t="shared" si="9"/>
        <v>0</v>
      </c>
      <c r="L67" s="21">
        <f t="shared" si="9"/>
        <v>0</v>
      </c>
      <c r="M67" s="21">
        <f t="shared" si="9"/>
        <v>0</v>
      </c>
    </row>
    <row r="68" spans="2:13" ht="15.75">
      <c r="B68" s="103" t="s">
        <v>179</v>
      </c>
      <c r="C68" s="21"/>
      <c r="D68" s="21">
        <f aca="true" t="shared" si="10" ref="D68:M68">D18/D16*D66</f>
        <v>0</v>
      </c>
      <c r="E68" s="21">
        <f t="shared" si="10"/>
        <v>0</v>
      </c>
      <c r="F68" s="21">
        <f t="shared" si="10"/>
        <v>0</v>
      </c>
      <c r="G68" s="21">
        <f t="shared" si="10"/>
        <v>0</v>
      </c>
      <c r="H68" s="21">
        <f t="shared" si="10"/>
        <v>0</v>
      </c>
      <c r="I68" s="21">
        <f t="shared" si="10"/>
        <v>0</v>
      </c>
      <c r="J68" s="21">
        <f t="shared" si="10"/>
        <v>0</v>
      </c>
      <c r="K68" s="21">
        <f t="shared" si="10"/>
        <v>0</v>
      </c>
      <c r="L68" s="21">
        <f t="shared" si="10"/>
        <v>0</v>
      </c>
      <c r="M68" s="21">
        <f t="shared" si="10"/>
        <v>0</v>
      </c>
    </row>
    <row r="69" spans="2:13" ht="15.75">
      <c r="B69" s="104"/>
      <c r="C69" s="21"/>
      <c r="D69" s="106"/>
      <c r="E69" s="106"/>
      <c r="F69" s="106"/>
      <c r="G69" s="106"/>
      <c r="H69" s="106"/>
      <c r="I69" s="106"/>
      <c r="J69" s="106"/>
      <c r="K69" s="106"/>
      <c r="L69" s="106"/>
      <c r="M69" s="106"/>
    </row>
    <row r="70" spans="2:13" ht="15.75">
      <c r="B70" s="104"/>
      <c r="C70" s="21"/>
      <c r="D70" s="106"/>
      <c r="E70" s="106"/>
      <c r="F70" s="106"/>
      <c r="G70" s="106"/>
      <c r="H70" s="106"/>
      <c r="I70" s="106"/>
      <c r="J70" s="106"/>
      <c r="K70" s="106"/>
      <c r="L70" s="106"/>
      <c r="M70" s="106"/>
    </row>
    <row r="71" spans="2:13" ht="15.75">
      <c r="B71" s="104"/>
      <c r="C71" s="21"/>
      <c r="D71" s="106"/>
      <c r="E71" s="106"/>
      <c r="F71" s="106"/>
      <c r="G71" s="106"/>
      <c r="H71" s="106"/>
      <c r="I71" s="106"/>
      <c r="J71" s="106"/>
      <c r="K71" s="106"/>
      <c r="L71" s="106"/>
      <c r="M71" s="106"/>
    </row>
    <row r="72" ht="15.75">
      <c r="B72" s="38" t="s">
        <v>156</v>
      </c>
    </row>
    <row r="73" spans="2:13" ht="15.75">
      <c r="B73" s="22" t="s">
        <v>140</v>
      </c>
      <c r="C73" s="21">
        <f>IF('[1]Tablero de Control'!$B$7='[1]Tablero de Control'!$S$7,0,IF('[1]Tablero de Control'!$B$7='[1]Tablero de Control'!$S$8,('[1]Opex'!$C$280*'[1]Opex'!$D$280+'[1]Opex'!$C$281*'[1]Opex'!$D$281)*'[1]Opex'!$C$282,IF('[1]Tablero de Control'!$B$7='[1]Tablero de Control'!$S$9,('[1]Opex'!$C$280*'[1]Opex'!$D$280+'[1]Opex'!$C$281*'[1]Opex'!$D$281)*'[1]Opex'!$C$282,0)))*12/1000000</f>
        <v>0</v>
      </c>
      <c r="D73" s="21">
        <f>IF('[1]Tablero de Control'!$B$7='[1]Tablero de Control'!$S$7,0,IF('[1]Tablero de Control'!$B$7='[1]Tablero de Control'!$S$8,('[1]Opex'!$C$280*'[1]Opex'!$D$280+'[1]Opex'!$C$281*'[1]Opex'!$D$281)*'[1]Opex'!$C$282,IF('[1]Tablero de Control'!$B$7='[1]Tablero de Control'!$S$9,('[1]Opex'!$C$280*'[1]Opex'!$D$280+'[1]Opex'!$C$281*'[1]Opex'!$D$281)*'[1]Opex'!$C$282,0)))*12/1000000</f>
        <v>0</v>
      </c>
      <c r="E73" s="21">
        <f>IF('[1]Tablero de Control'!$B$7='[1]Tablero de Control'!$S$7,0,IF('[1]Tablero de Control'!$B$7='[1]Tablero de Control'!$S$8,('[1]Opex'!$C$280*'[1]Opex'!$D$280+'[1]Opex'!$C$281*'[1]Opex'!$D$281)*'[1]Opex'!$C$282,IF('[1]Tablero de Control'!$B$7='[1]Tablero de Control'!$S$9,('[1]Opex'!$C$280*'[1]Opex'!$D$280+'[1]Opex'!$C$281*'[1]Opex'!$D$281)*'[1]Opex'!$C$282,0)))*12/1000000</f>
        <v>0</v>
      </c>
      <c r="F73" s="21">
        <f>IF('[1]Tablero de Control'!$B$7='[1]Tablero de Control'!$S$7,0,IF('[1]Tablero de Control'!$B$7='[1]Tablero de Control'!$S$8,('[1]Opex'!$C$280*'[1]Opex'!$D$280+'[1]Opex'!$C$281*'[1]Opex'!$D$281)*'[1]Opex'!$C$282,IF('[1]Tablero de Control'!$B$7='[1]Tablero de Control'!$S$9,('[1]Opex'!$C$280*'[1]Opex'!$D$280+'[1]Opex'!$C$281*'[1]Opex'!$D$281)*'[1]Opex'!$C$282,0)))*12/1000000</f>
        <v>0</v>
      </c>
      <c r="G73" s="21">
        <f>IF('[1]Tablero de Control'!$B$7='[1]Tablero de Control'!$S$7,0,IF('[1]Tablero de Control'!$B$7='[1]Tablero de Control'!$S$8,('[1]Opex'!$C$280*'[1]Opex'!$D$280+'[1]Opex'!$C$281*'[1]Opex'!$D$281)*'[1]Opex'!$C$282,IF('[1]Tablero de Control'!$B$7='[1]Tablero de Control'!$S$9,('[1]Opex'!$C$280*'[1]Opex'!$D$280+'[1]Opex'!$C$281*'[1]Opex'!$D$281)*'[1]Opex'!$C$282,0)))*12/1000000</f>
        <v>0</v>
      </c>
      <c r="H73" s="21">
        <f>IF('[1]Tablero de Control'!$B$7='[1]Tablero de Control'!$S$7,0,IF('[1]Tablero de Control'!$B$7='[1]Tablero de Control'!$S$8,('[1]Opex'!$C$280*'[1]Opex'!$D$280+'[1]Opex'!$C$281*'[1]Opex'!$D$281)*'[1]Opex'!$C$282,IF('[1]Tablero de Control'!$B$7='[1]Tablero de Control'!$S$9,('[1]Opex'!$C$280*'[1]Opex'!$D$280+'[1]Opex'!$C$281*'[1]Opex'!$D$281)*'[1]Opex'!$C$282,0)))*12/1000000</f>
        <v>0</v>
      </c>
      <c r="I73" s="21">
        <f>IF('[1]Tablero de Control'!$B$7='[1]Tablero de Control'!$S$7,0,IF('[1]Tablero de Control'!$B$7='[1]Tablero de Control'!$S$8,('[1]Opex'!$C$280*'[1]Opex'!$D$280+'[1]Opex'!$C$281*'[1]Opex'!$D$281)*'[1]Opex'!$C$282,IF('[1]Tablero de Control'!$B$7='[1]Tablero de Control'!$S$9,('[1]Opex'!$C$280*'[1]Opex'!$D$280+'[1]Opex'!$C$281*'[1]Opex'!$D$281)*'[1]Opex'!$C$282,0)))*12/1000000</f>
        <v>0</v>
      </c>
      <c r="J73" s="21">
        <f>IF('[1]Tablero de Control'!$B$7='[1]Tablero de Control'!$S$7,0,IF('[1]Tablero de Control'!$B$7='[1]Tablero de Control'!$S$8,('[1]Opex'!$C$280*'[1]Opex'!$D$280+'[1]Opex'!$C$281*'[1]Opex'!$D$281)*'[1]Opex'!$C$282,IF('[1]Tablero de Control'!$B$7='[1]Tablero de Control'!$S$9,('[1]Opex'!$C$280*'[1]Opex'!$D$280+'[1]Opex'!$C$281*'[1]Opex'!$D$281)*'[1]Opex'!$C$282,0)))*12/1000000</f>
        <v>0</v>
      </c>
      <c r="K73" s="21">
        <f>IF('[1]Tablero de Control'!$B$7='[1]Tablero de Control'!$S$7,0,IF('[1]Tablero de Control'!$B$7='[1]Tablero de Control'!$S$8,('[1]Opex'!$C$280*'[1]Opex'!$D$280+'[1]Opex'!$C$281*'[1]Opex'!$D$281)*'[1]Opex'!$C$282,IF('[1]Tablero de Control'!$B$7='[1]Tablero de Control'!$S$9,('[1]Opex'!$C$280*'[1]Opex'!$D$280+'[1]Opex'!$C$281*'[1]Opex'!$D$281)*'[1]Opex'!$C$282,0)))*12/1000000</f>
        <v>0</v>
      </c>
      <c r="L73" s="21">
        <f>IF('[1]Tablero de Control'!$B$7='[1]Tablero de Control'!$S$7,0,IF('[1]Tablero de Control'!$B$7='[1]Tablero de Control'!$S$8,('[1]Opex'!$C$280*'[1]Opex'!$D$280+'[1]Opex'!$C$281*'[1]Opex'!$D$281)*'[1]Opex'!$C$282,IF('[1]Tablero de Control'!$B$7='[1]Tablero de Control'!$S$9,('[1]Opex'!$C$280*'[1]Opex'!$D$280+'[1]Opex'!$C$281*'[1]Opex'!$D$281)*'[1]Opex'!$C$282,0)))*12/1000000</f>
        <v>0</v>
      </c>
      <c r="M73" s="21">
        <f>IF('[1]Tablero de Control'!$B$7='[1]Tablero de Control'!$S$7,0,IF('[1]Tablero de Control'!$B$7='[1]Tablero de Control'!$S$8,('[1]Opex'!$C$280*'[1]Opex'!$D$280+'[1]Opex'!$C$281*'[1]Opex'!$D$281)*'[1]Opex'!$C$282,IF('[1]Tablero de Control'!$B$7='[1]Tablero de Control'!$S$9,('[1]Opex'!$C$280*'[1]Opex'!$D$280+'[1]Opex'!$C$281*'[1]Opex'!$D$281)*'[1]Opex'!$C$282,0)))*12/1000000</f>
        <v>0</v>
      </c>
    </row>
    <row r="74" spans="2:13" ht="15.75">
      <c r="B74" s="103" t="s">
        <v>82</v>
      </c>
      <c r="C74" s="21"/>
      <c r="D74" s="21">
        <f aca="true" t="shared" si="11" ref="D74:M74">D17/D16*D73</f>
        <v>0</v>
      </c>
      <c r="E74" s="21">
        <f t="shared" si="11"/>
        <v>0</v>
      </c>
      <c r="F74" s="21">
        <f t="shared" si="11"/>
        <v>0</v>
      </c>
      <c r="G74" s="21">
        <f t="shared" si="11"/>
        <v>0</v>
      </c>
      <c r="H74" s="21">
        <f t="shared" si="11"/>
        <v>0</v>
      </c>
      <c r="I74" s="21">
        <f t="shared" si="11"/>
        <v>0</v>
      </c>
      <c r="J74" s="21">
        <f t="shared" si="11"/>
        <v>0</v>
      </c>
      <c r="K74" s="21">
        <f t="shared" si="11"/>
        <v>0</v>
      </c>
      <c r="L74" s="21">
        <f t="shared" si="11"/>
        <v>0</v>
      </c>
      <c r="M74" s="21">
        <f t="shared" si="11"/>
        <v>0</v>
      </c>
    </row>
    <row r="75" spans="2:13" ht="15.75">
      <c r="B75" s="103" t="s">
        <v>179</v>
      </c>
      <c r="C75" s="21"/>
      <c r="D75" s="21">
        <f aca="true" t="shared" si="12" ref="D75:M75">D18/D16*D73</f>
        <v>0</v>
      </c>
      <c r="E75" s="21">
        <f t="shared" si="12"/>
        <v>0</v>
      </c>
      <c r="F75" s="21">
        <f t="shared" si="12"/>
        <v>0</v>
      </c>
      <c r="G75" s="21">
        <f t="shared" si="12"/>
        <v>0</v>
      </c>
      <c r="H75" s="21">
        <f t="shared" si="12"/>
        <v>0</v>
      </c>
      <c r="I75" s="21">
        <f t="shared" si="12"/>
        <v>0</v>
      </c>
      <c r="J75" s="21">
        <f t="shared" si="12"/>
        <v>0</v>
      </c>
      <c r="K75" s="21">
        <f t="shared" si="12"/>
        <v>0</v>
      </c>
      <c r="L75" s="21">
        <f t="shared" si="12"/>
        <v>0</v>
      </c>
      <c r="M75" s="21">
        <f t="shared" si="12"/>
        <v>0</v>
      </c>
    </row>
    <row r="76" spans="2:13" ht="15.75">
      <c r="B76" s="104"/>
      <c r="C76" s="21"/>
      <c r="D76" s="106"/>
      <c r="E76" s="106"/>
      <c r="F76" s="106"/>
      <c r="G76" s="106"/>
      <c r="H76" s="106"/>
      <c r="I76" s="106"/>
      <c r="J76" s="106"/>
      <c r="K76" s="106"/>
      <c r="L76" s="106"/>
      <c r="M76" s="106"/>
    </row>
    <row r="77" spans="2:13" ht="15.75">
      <c r="B77" s="104"/>
      <c r="C77" s="21"/>
      <c r="D77" s="106"/>
      <c r="E77" s="106"/>
      <c r="F77" s="106"/>
      <c r="G77" s="106"/>
      <c r="H77" s="106"/>
      <c r="I77" s="106"/>
      <c r="J77" s="106"/>
      <c r="K77" s="106"/>
      <c r="L77" s="106"/>
      <c r="M77" s="106"/>
    </row>
    <row r="78" spans="2:13" ht="15.75">
      <c r="B78" s="104"/>
      <c r="C78" s="21"/>
      <c r="D78" s="106"/>
      <c r="E78" s="106"/>
      <c r="F78" s="106"/>
      <c r="G78" s="106"/>
      <c r="H78" s="106"/>
      <c r="I78" s="106"/>
      <c r="J78" s="106"/>
      <c r="K78" s="106"/>
      <c r="L78" s="106"/>
      <c r="M78" s="106"/>
    </row>
    <row r="79" ht="15.75">
      <c r="B79" s="38" t="s">
        <v>172</v>
      </c>
    </row>
    <row r="80" spans="2:13" ht="15.75">
      <c r="B80" s="22" t="s">
        <v>170</v>
      </c>
      <c r="C80" s="21">
        <f aca="true" t="shared" si="13" ref="C80:M80">+C31+C59+C73</f>
        <v>0</v>
      </c>
      <c r="D80" s="21">
        <f t="shared" si="13"/>
        <v>0</v>
      </c>
      <c r="E80" s="21">
        <f t="shared" si="13"/>
        <v>0</v>
      </c>
      <c r="F80" s="21">
        <f t="shared" si="13"/>
        <v>0</v>
      </c>
      <c r="G80" s="21">
        <f t="shared" si="13"/>
        <v>0</v>
      </c>
      <c r="H80" s="21">
        <f t="shared" si="13"/>
        <v>0</v>
      </c>
      <c r="I80" s="21">
        <f t="shared" si="13"/>
        <v>0</v>
      </c>
      <c r="J80" s="21">
        <f t="shared" si="13"/>
        <v>0</v>
      </c>
      <c r="K80" s="21">
        <f t="shared" si="13"/>
        <v>0</v>
      </c>
      <c r="L80" s="21">
        <f t="shared" si="13"/>
        <v>0</v>
      </c>
      <c r="M80" s="21">
        <f t="shared" si="13"/>
        <v>0</v>
      </c>
    </row>
    <row r="81" spans="2:13" ht="15.75">
      <c r="B81" s="22" t="s">
        <v>85</v>
      </c>
      <c r="C81" s="21">
        <f aca="true" t="shared" si="14" ref="C81:M81">+C43+C66+C73</f>
        <v>1569.102392092656</v>
      </c>
      <c r="D81" s="21">
        <f t="shared" si="14"/>
        <v>1664.6908974157955</v>
      </c>
      <c r="E81" s="21">
        <f t="shared" si="14"/>
        <v>1764.1065900773588</v>
      </c>
      <c r="F81" s="21">
        <f t="shared" si="14"/>
        <v>1869.4685662176862</v>
      </c>
      <c r="G81" s="21">
        <f t="shared" si="14"/>
        <v>1981.1328552788964</v>
      </c>
      <c r="H81" s="21">
        <f t="shared" si="14"/>
        <v>2099.4768185110274</v>
      </c>
      <c r="I81" s="21">
        <f t="shared" si="14"/>
        <v>2224.900426662517</v>
      </c>
      <c r="J81" s="21">
        <f t="shared" si="14"/>
        <v>2357.827618292695</v>
      </c>
      <c r="K81" s="21">
        <f t="shared" si="14"/>
        <v>2498.707733606011</v>
      </c>
      <c r="L81" s="21">
        <f t="shared" si="14"/>
        <v>2648.017038160228</v>
      </c>
      <c r="M81" s="21">
        <f t="shared" si="14"/>
        <v>2806.26033698226</v>
      </c>
    </row>
    <row r="82" ht="15.75">
      <c r="B82" s="38" t="s">
        <v>173</v>
      </c>
    </row>
    <row r="83" spans="2:13" ht="15.75">
      <c r="B83" s="22" t="s">
        <v>157</v>
      </c>
      <c r="C83" s="21">
        <f>IF('[1]Tablero de Control'!$B$7='[1]Tablero de Control'!$S$7,0,'[1]Capex'!$C$136*SUM('[1]Opex'!$C$280:$C$281)/1000000)</f>
        <v>0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2:13" ht="15.75">
      <c r="B84" s="22" t="s">
        <v>158</v>
      </c>
      <c r="C84" s="21">
        <f>IF('[1]Tablero de Control'!$B$7='[1]Tablero de Control'!$S$7,0,'[1]Capex'!$C$138*SUM('[1]Opex'!$C$280:$C$281)/1000000)</f>
        <v>0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</row>
    <row r="85" ht="15.75">
      <c r="B85" s="38" t="s">
        <v>176</v>
      </c>
    </row>
    <row r="86" spans="2:13" ht="15.75" hidden="1">
      <c r="B86" s="93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2:13" ht="15.75" hidden="1">
      <c r="B87" s="22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</row>
    <row r="88" ht="15.75">
      <c r="B88" s="93" t="s">
        <v>85</v>
      </c>
    </row>
    <row r="89" spans="2:13" ht="15.75">
      <c r="B89" s="22" t="s">
        <v>84</v>
      </c>
      <c r="C89" s="21">
        <f aca="true" t="shared" si="15" ref="C89:M89">+C43+C66+C73</f>
        <v>1569.102392092656</v>
      </c>
      <c r="D89" s="21">
        <f t="shared" si="15"/>
        <v>1664.6908974157955</v>
      </c>
      <c r="E89" s="21">
        <f t="shared" si="15"/>
        <v>1764.1065900773588</v>
      </c>
      <c r="F89" s="21">
        <f t="shared" si="15"/>
        <v>1869.4685662176862</v>
      </c>
      <c r="G89" s="21">
        <f t="shared" si="15"/>
        <v>1981.1328552788964</v>
      </c>
      <c r="H89" s="21">
        <f t="shared" si="15"/>
        <v>2099.4768185110274</v>
      </c>
      <c r="I89" s="21">
        <f t="shared" si="15"/>
        <v>2224.900426662517</v>
      </c>
      <c r="J89" s="21">
        <f t="shared" si="15"/>
        <v>2357.827618292695</v>
      </c>
      <c r="K89" s="21">
        <f t="shared" si="15"/>
        <v>2498.707733606011</v>
      </c>
      <c r="L89" s="21">
        <f t="shared" si="15"/>
        <v>2648.017038160228</v>
      </c>
      <c r="M89" s="21">
        <f t="shared" si="15"/>
        <v>2806.26033698226</v>
      </c>
    </row>
    <row r="90" ht="15.75">
      <c r="B90" s="38" t="s">
        <v>199</v>
      </c>
    </row>
    <row r="91" spans="2:13" ht="15.75">
      <c r="B91" s="22" t="s">
        <v>85</v>
      </c>
      <c r="C91" s="21">
        <f aca="true" t="shared" si="16" ref="C91:M91">+C43+C73</f>
        <v>1569.102392092656</v>
      </c>
      <c r="D91" s="21">
        <f t="shared" si="16"/>
        <v>1664.6908974157955</v>
      </c>
      <c r="E91" s="21">
        <f t="shared" si="16"/>
        <v>1764.1065900773588</v>
      </c>
      <c r="F91" s="21">
        <f t="shared" si="16"/>
        <v>1869.4685662176862</v>
      </c>
      <c r="G91" s="21">
        <f t="shared" si="16"/>
        <v>1981.1328552788964</v>
      </c>
      <c r="H91" s="21">
        <f t="shared" si="16"/>
        <v>2099.4768185110274</v>
      </c>
      <c r="I91" s="21">
        <f t="shared" si="16"/>
        <v>2224.900426662517</v>
      </c>
      <c r="J91" s="21">
        <f t="shared" si="16"/>
        <v>2357.827618292695</v>
      </c>
      <c r="K91" s="21">
        <f t="shared" si="16"/>
        <v>2498.707733606011</v>
      </c>
      <c r="L91" s="21">
        <f t="shared" si="16"/>
        <v>2648.017038160228</v>
      </c>
      <c r="M91" s="21">
        <f t="shared" si="16"/>
        <v>2806.26033698226</v>
      </c>
    </row>
    <row r="92" ht="15.75">
      <c r="B92" s="38" t="s">
        <v>182</v>
      </c>
    </row>
    <row r="93" spans="2:3" ht="15.75">
      <c r="B93" s="108" t="s">
        <v>82</v>
      </c>
      <c r="C93" s="135">
        <f>'[1]Tablero de Control'!$B$26</f>
        <v>5</v>
      </c>
    </row>
    <row r="94" spans="2:9" ht="15.75">
      <c r="B94" s="108" t="s">
        <v>183</v>
      </c>
      <c r="I94" s="133"/>
    </row>
    <row r="95" spans="2:9" ht="15.75">
      <c r="B95" s="109"/>
      <c r="C95" s="135"/>
      <c r="D95" s="128"/>
      <c r="E95" s="129"/>
      <c r="F95" s="130"/>
      <c r="G95" s="129"/>
      <c r="H95" s="131"/>
      <c r="I95" s="131"/>
    </row>
    <row r="96" spans="2:9" ht="15.75">
      <c r="B96" s="109"/>
      <c r="C96" s="135"/>
      <c r="D96" s="128"/>
      <c r="E96" s="129"/>
      <c r="F96" s="130"/>
      <c r="G96" s="129"/>
      <c r="H96" s="130"/>
      <c r="I96" s="130"/>
    </row>
    <row r="97" spans="2:9" ht="15.75">
      <c r="B97" s="109"/>
      <c r="C97" s="135"/>
      <c r="D97" s="128"/>
      <c r="E97" s="129"/>
      <c r="F97" s="130"/>
      <c r="G97" s="129"/>
      <c r="H97" s="130"/>
      <c r="I97" s="130"/>
    </row>
    <row r="98" spans="2:9" ht="15.75">
      <c r="B98" s="109"/>
      <c r="C98" s="110"/>
      <c r="D98" s="132"/>
      <c r="E98" s="129"/>
      <c r="F98" s="130"/>
      <c r="G98" s="129"/>
      <c r="H98" s="130"/>
      <c r="I98" s="130"/>
    </row>
    <row r="99" spans="2:3" ht="15.75">
      <c r="B99" s="38" t="s">
        <v>184</v>
      </c>
      <c r="C99" s="136">
        <f>IF('[1]Tablero de Control'!$B$26='[1]Tablero de Control'!$S$34,'[1]Opex'!$C$326,IF('[1]Tablero de Control'!$B$26='[1]Tablero de Control'!$S$35,'[1]Opex'!$C$327,IF('[1]Tablero de Control'!$B$26='[1]Tablero de Control'!$S$36,'[1]Opex'!$C$328,IF('[1]Tablero de Control'!$B$26='[1]Tablero de Control'!$S$37,'[1]Opex'!$C$329,IF('[1]Tablero de Control'!$B$26='[1]Tablero de Control'!$S$38,'[1]Opex'!$C$330,0)))))</f>
        <v>0.8</v>
      </c>
    </row>
    <row r="100" spans="2:3" ht="15.75">
      <c r="B100" s="38" t="s">
        <v>186</v>
      </c>
      <c r="C100" s="115">
        <f>D55/C101</f>
        <v>1.001136440899917</v>
      </c>
    </row>
    <row r="101" spans="3:4" ht="15">
      <c r="C101" s="111">
        <v>1.30165101719038</v>
      </c>
      <c r="D101" s="112"/>
    </row>
    <row r="102" spans="2:4" ht="15.75">
      <c r="B102" s="38" t="s">
        <v>202</v>
      </c>
      <c r="C102" s="111"/>
      <c r="D102" s="112"/>
    </row>
    <row r="103" spans="2:13" ht="15">
      <c r="B103" s="119" t="s">
        <v>200</v>
      </c>
      <c r="C103" s="120">
        <f>1-C104</f>
        <v>1</v>
      </c>
      <c r="D103" s="120">
        <f aca="true" t="shared" si="17" ref="D103:M103">1-D104</f>
        <v>1</v>
      </c>
      <c r="E103" s="120">
        <f t="shared" si="17"/>
        <v>1</v>
      </c>
      <c r="F103" s="120">
        <f t="shared" si="17"/>
        <v>1</v>
      </c>
      <c r="G103" s="120">
        <f t="shared" si="17"/>
        <v>1</v>
      </c>
      <c r="H103" s="120">
        <f t="shared" si="17"/>
        <v>1</v>
      </c>
      <c r="I103" s="120">
        <f t="shared" si="17"/>
        <v>1</v>
      </c>
      <c r="J103" s="120">
        <f t="shared" si="17"/>
        <v>1</v>
      </c>
      <c r="K103" s="120">
        <f t="shared" si="17"/>
        <v>1</v>
      </c>
      <c r="L103" s="120">
        <f t="shared" si="17"/>
        <v>1</v>
      </c>
      <c r="M103" s="120">
        <f t="shared" si="17"/>
        <v>1</v>
      </c>
    </row>
    <row r="104" spans="2:13" ht="15">
      <c r="B104" s="119" t="s">
        <v>201</v>
      </c>
      <c r="C104" s="120">
        <f aca="true" t="shared" si="18" ref="C104:M104">C66/C89</f>
        <v>0</v>
      </c>
      <c r="D104" s="120">
        <f t="shared" si="18"/>
        <v>0</v>
      </c>
      <c r="E104" s="120">
        <f t="shared" si="18"/>
        <v>0</v>
      </c>
      <c r="F104" s="120">
        <f t="shared" si="18"/>
        <v>0</v>
      </c>
      <c r="G104" s="120">
        <f t="shared" si="18"/>
        <v>0</v>
      </c>
      <c r="H104" s="120">
        <f t="shared" si="18"/>
        <v>0</v>
      </c>
      <c r="I104" s="120">
        <f t="shared" si="18"/>
        <v>0</v>
      </c>
      <c r="J104" s="120">
        <f t="shared" si="18"/>
        <v>0</v>
      </c>
      <c r="K104" s="120">
        <f t="shared" si="18"/>
        <v>0</v>
      </c>
      <c r="L104" s="120">
        <f t="shared" si="18"/>
        <v>0</v>
      </c>
      <c r="M104" s="120">
        <f t="shared" si="18"/>
        <v>0</v>
      </c>
    </row>
  </sheetData>
  <sheetProtection/>
  <dataValidations count="1">
    <dataValidation type="list" allowBlank="1" showInputMessage="1" showErrorMessage="1" sqref="J95">
      <formula1>$K$95:$K$96</formula1>
    </dataValidation>
  </dataValidations>
  <printOptions/>
  <pageMargins left="0.7" right="0.7" top="0.75" bottom="0.75" header="0.3" footer="0.3"/>
  <pageSetup horizontalDpi="600" verticalDpi="600" orientation="portrait" r:id="rId1"/>
  <ignoredErrors>
    <ignoredError sqref="D45 E45:M45 D68 E68:M68 D75:M7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6">
      <selection activeCell="B48" sqref="B48"/>
    </sheetView>
  </sheetViews>
  <sheetFormatPr defaultColWidth="11.421875" defaultRowHeight="15"/>
  <cols>
    <col min="1" max="1" width="1.7109375" style="1" customWidth="1"/>
    <col min="2" max="2" width="64.421875" style="1" bestFit="1" customWidth="1"/>
    <col min="3" max="13" width="12.7109375" style="1" customWidth="1"/>
    <col min="14" max="16384" width="11.421875" style="1" customWidth="1"/>
  </cols>
  <sheetData>
    <row r="1" spans="1:2" s="6" customFormat="1" ht="4.5" customHeight="1">
      <c r="A1" s="8"/>
      <c r="B1" s="8"/>
    </row>
    <row r="2" spans="1:13" s="6" customFormat="1" ht="15.75">
      <c r="A2" s="8"/>
      <c r="B2" s="48" t="s">
        <v>12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6" customFormat="1" ht="15.75">
      <c r="A3" s="8"/>
      <c r="B3" s="47" t="s">
        <v>164</v>
      </c>
      <c r="C3" s="14"/>
      <c r="D3" s="14"/>
      <c r="E3" s="16"/>
      <c r="F3" s="16"/>
      <c r="G3" s="16"/>
      <c r="H3" s="17"/>
      <c r="I3" s="16"/>
      <c r="J3" s="16"/>
      <c r="K3" s="16"/>
      <c r="L3" s="16"/>
      <c r="M3" s="16"/>
    </row>
    <row r="4" spans="1:13" s="6" customFormat="1" ht="4.5" customHeight="1">
      <c r="A4" s="8"/>
      <c r="B4" s="15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s="6" customFormat="1" ht="15.75">
      <c r="A5" s="8"/>
      <c r="B5" s="24" t="s">
        <v>10</v>
      </c>
      <c r="C5" s="14"/>
      <c r="D5" s="16"/>
      <c r="E5" s="14"/>
      <c r="F5" s="14"/>
      <c r="G5" s="14"/>
      <c r="H5" s="14"/>
      <c r="I5" s="14"/>
      <c r="J5" s="14"/>
      <c r="K5" s="14"/>
      <c r="L5" s="14"/>
      <c r="M5" s="14"/>
    </row>
    <row r="6" spans="1:13" s="6" customFormat="1" ht="15.75">
      <c r="A6" s="8"/>
      <c r="B6" s="23" t="str">
        <f>IF('[1]Tablero de Control'!$B$7='[1]Tablero de Control'!$S$7,'[1]Tablero de Control'!$S$7,IF('[1]Tablero de Control'!$B$7='[1]Tablero de Control'!$S$8,'[1]Tablero de Control'!$S$8,IF('[1]Tablero de Control'!$B$7='[1]Tablero de Control'!$S$9,'[1]Tablero de Control'!$S$9,0)))</f>
        <v>Masivo Puro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s="6" customFormat="1" ht="4.5" customHeight="1">
      <c r="A7" s="8"/>
      <c r="B7" s="15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2:13" ht="15.75">
      <c r="B8" s="51" t="s">
        <v>9</v>
      </c>
      <c r="C8" s="51">
        <f>+'[1]Financieros'!$C$11</f>
        <v>2009</v>
      </c>
      <c r="D8" s="52">
        <f>+'[1]Financieros'!D7</f>
        <v>2010</v>
      </c>
      <c r="E8" s="52">
        <f>+'[1]Financieros'!E7</f>
        <v>2011</v>
      </c>
      <c r="F8" s="52">
        <f>+'[1]Financieros'!F7</f>
        <v>2012</v>
      </c>
      <c r="G8" s="52">
        <f>+'[1]Financieros'!G7</f>
        <v>2013</v>
      </c>
      <c r="H8" s="52">
        <f>+'[1]Financieros'!H7</f>
        <v>2014</v>
      </c>
      <c r="I8" s="52">
        <f>+'[1]Financieros'!I7</f>
        <v>2015</v>
      </c>
      <c r="J8" s="52">
        <f>+'[1]Financieros'!J7</f>
        <v>2016</v>
      </c>
      <c r="K8" s="52">
        <f>+'[1]Financieros'!K7</f>
        <v>2017</v>
      </c>
      <c r="L8" s="52">
        <f>+'[1]Financieros'!L7</f>
        <v>2018</v>
      </c>
      <c r="M8" s="52">
        <f>+'[1]Financieros'!M7</f>
        <v>2019</v>
      </c>
    </row>
    <row r="9" spans="2:13" ht="15.75">
      <c r="B9" s="38" t="s">
        <v>159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2:13" ht="15.75">
      <c r="B10" s="92" t="s">
        <v>67</v>
      </c>
      <c r="C10" s="21">
        <f aca="true" t="shared" si="0" ref="C10:M10">+C11+C12</f>
        <v>109395869.57403222</v>
      </c>
      <c r="D10" s="21">
        <f t="shared" si="0"/>
        <v>115954286.74420418</v>
      </c>
      <c r="E10" s="21">
        <f t="shared" si="0"/>
        <v>122905995.22990552</v>
      </c>
      <c r="F10" s="21">
        <f t="shared" si="0"/>
        <v>130274583.94733728</v>
      </c>
      <c r="G10" s="21">
        <f t="shared" si="0"/>
        <v>138085056.8045273</v>
      </c>
      <c r="H10" s="21">
        <f t="shared" si="0"/>
        <v>146363917.58708578</v>
      </c>
      <c r="I10" s="21">
        <f t="shared" si="0"/>
        <v>155139259.86693427</v>
      </c>
      <c r="J10" s="21">
        <f t="shared" si="0"/>
        <v>164440862.57930174</v>
      </c>
      <c r="K10" s="21">
        <f t="shared" si="0"/>
        <v>174300290.92826375</v>
      </c>
      <c r="L10" s="21">
        <f t="shared" si="0"/>
        <v>184751003.61246818</v>
      </c>
      <c r="M10" s="21">
        <f t="shared" si="0"/>
        <v>195828466.41806674</v>
      </c>
    </row>
    <row r="11" spans="2:13" ht="15.75">
      <c r="B11" s="22" t="s">
        <v>82</v>
      </c>
      <c r="C11" s="21">
        <f>+Demanda!C18*1000000</f>
        <v>109128067.32985246</v>
      </c>
      <c r="D11" s="21">
        <f>+Demanda!D18*1000000</f>
        <v>115675751.40105069</v>
      </c>
      <c r="E11" s="21">
        <f>+Demanda!E18*1000000</f>
        <v>122616296.51840523</v>
      </c>
      <c r="F11" s="21">
        <f>+Demanda!F18*1000000</f>
        <v>129973274.34479856</v>
      </c>
      <c r="G11" s="21">
        <f>+Demanda!G18*1000000</f>
        <v>137771670.8428928</v>
      </c>
      <c r="H11" s="21">
        <f>+Demanda!H18*1000000</f>
        <v>146037971.1331171</v>
      </c>
      <c r="I11" s="21">
        <f>+Demanda!I18*1000000</f>
        <v>154800249.37393433</v>
      </c>
      <c r="J11" s="21">
        <f>+Demanda!J18*1000000</f>
        <v>164088264.3075704</v>
      </c>
      <c r="K11" s="21">
        <f>+Demanda!K18*1000000</f>
        <v>173933560.13549662</v>
      </c>
      <c r="L11" s="21">
        <f>+Demanda!L18*1000000</f>
        <v>184369573.7112667</v>
      </c>
      <c r="M11" s="21">
        <f>+Demanda!M18*1000000</f>
        <v>195431748.09964138</v>
      </c>
    </row>
    <row r="12" spans="2:13" ht="15.75">
      <c r="B12" s="22" t="s">
        <v>179</v>
      </c>
      <c r="C12" s="21">
        <f>+Demanda!C19*1000000</f>
        <v>267802.24417975097</v>
      </c>
      <c r="D12" s="21">
        <f>+Demanda!D19*1000000</f>
        <v>278535.3431534851</v>
      </c>
      <c r="E12" s="21">
        <f>+Demanda!E19*1000000</f>
        <v>289698.7115002901</v>
      </c>
      <c r="F12" s="21">
        <f>+Demanda!F19*1000000</f>
        <v>301309.60253871477</v>
      </c>
      <c r="G12" s="21">
        <f>+Demanda!G19*1000000</f>
        <v>313385.9616345125</v>
      </c>
      <c r="H12" s="21">
        <f>+Demanda!H19*1000000</f>
        <v>325946.4539686804</v>
      </c>
      <c r="I12" s="21">
        <f>+Demanda!I19*1000000</f>
        <v>339010.49299993005</v>
      </c>
      <c r="J12" s="21">
        <f>+Demanda!J19*1000000</f>
        <v>352598.27173134213</v>
      </c>
      <c r="K12" s="21">
        <f>+Demanda!K19*1000000</f>
        <v>366730.7927671512</v>
      </c>
      <c r="L12" s="21">
        <f>+Demanda!L19*1000000</f>
        <v>381429.9012014905</v>
      </c>
      <c r="M12" s="21">
        <f>+Demanda!M19*1000000</f>
        <v>396718.3184253452</v>
      </c>
    </row>
    <row r="13" ht="15.75">
      <c r="B13" s="38" t="s">
        <v>160</v>
      </c>
    </row>
    <row r="14" spans="2:13" ht="15.75">
      <c r="B14" s="22" t="s">
        <v>15</v>
      </c>
      <c r="C14" s="21">
        <f>IF('[1]Tablero de Control'!$B$7='[1]Tablero de Control'!$S$7,C10/'[1]Opex'!$C$335,IF('[1]Tablero de Control'!$B$7='[1]Tablero de Control'!$S$8,C10/'[1]Opex'!$C$336,IF('[1]Tablero de Control'!$B$7='[1]Tablero de Control'!$S$9,C10/'[1]Opex'!$C$337,0)))</f>
        <v>1665.777777777778</v>
      </c>
      <c r="D14" s="21">
        <f>IF('[1]Tablero de Control'!$B$7='[1]Tablero de Control'!$S$7,D10/'[1]Opex'!$C$335,IF('[1]Tablero de Control'!$B$7='[1]Tablero de Control'!$S$8,D10/'[1]Opex'!$C$336,IF('[1]Tablero de Control'!$B$7='[1]Tablero de Control'!$S$9,D10/'[1]Opex'!$C$337,0)))</f>
        <v>1765.643207999304</v>
      </c>
      <c r="E14" s="21">
        <f>IF('[1]Tablero de Control'!$B$7='[1]Tablero de Control'!$S$7,E10/'[1]Opex'!$C$335,IF('[1]Tablero de Control'!$B$7='[1]Tablero de Control'!$S$8,E10/'[1]Opex'!$C$336,IF('[1]Tablero de Control'!$B$7='[1]Tablero de Control'!$S$9,E10/'[1]Opex'!$C$337,0)))</f>
        <v>1871.4973097872503</v>
      </c>
      <c r="F14" s="21">
        <f>IF('[1]Tablero de Control'!$B$7='[1]Tablero de Control'!$S$7,F10/'[1]Opex'!$C$335,IF('[1]Tablero de Control'!$B$7='[1]Tablero de Control'!$S$8,F10/'[1]Opex'!$C$336,IF('[1]Tablero de Control'!$B$7='[1]Tablero de Control'!$S$9,F10/'[1]Opex'!$C$337,0)))</f>
        <v>1983.6992730503634</v>
      </c>
      <c r="G14" s="21">
        <f>IF('[1]Tablero de Control'!$B$7='[1]Tablero de Control'!$S$7,G10/'[1]Opex'!$C$335,IF('[1]Tablero de Control'!$B$7='[1]Tablero de Control'!$S$8,G10/'[1]Opex'!$C$336,IF('[1]Tablero de Control'!$B$7='[1]Tablero de Control'!$S$9,G10/'[1]Opex'!$C$337,0)))</f>
        <v>2102.6298338668207</v>
      </c>
      <c r="H14" s="21">
        <f>IF('[1]Tablero de Control'!$B$7='[1]Tablero de Control'!$S$7,H10/'[1]Opex'!$C$335,IF('[1]Tablero de Control'!$B$7='[1]Tablero de Control'!$S$8,H10/'[1]Opex'!$C$336,IF('[1]Tablero de Control'!$B$7='[1]Tablero de Control'!$S$9,H10/'[1]Opex'!$C$337,0)))</f>
        <v>2228.692567044961</v>
      </c>
      <c r="I14" s="21">
        <f>IF('[1]Tablero de Control'!$B$7='[1]Tablero de Control'!$S$7,I10/'[1]Opex'!$C$335,IF('[1]Tablero de Control'!$B$7='[1]Tablero de Control'!$S$8,I10/'[1]Opex'!$C$336,IF('[1]Tablero de Control'!$B$7='[1]Tablero de Control'!$S$9,I10/'[1]Opex'!$C$337,0)))</f>
        <v>2362.31525516915</v>
      </c>
      <c r="J14" s="21">
        <f>IF('[1]Tablero de Control'!$B$7='[1]Tablero de Control'!$S$7,J10/'[1]Opex'!$C$335,IF('[1]Tablero de Control'!$B$7='[1]Tablero de Control'!$S$8,J10/'[1]Opex'!$C$336,IF('[1]Tablero de Control'!$B$7='[1]Tablero de Control'!$S$9,J10/'[1]Opex'!$C$337,0)))</f>
        <v>2503.9513439567036</v>
      </c>
      <c r="K14" s="21">
        <f>IF('[1]Tablero de Control'!$B$7='[1]Tablero de Control'!$S$7,K10/'[1]Opex'!$C$335,IF('[1]Tablero de Control'!$B$7='[1]Tablero de Control'!$S$8,K10/'[1]Opex'!$C$336,IF('[1]Tablero de Control'!$B$7='[1]Tablero de Control'!$S$9,K10/'[1]Opex'!$C$337,0)))</f>
        <v>2654.081478752869</v>
      </c>
      <c r="L14" s="21">
        <f>IF('[1]Tablero de Control'!$B$7='[1]Tablero de Control'!$S$7,L10/'[1]Opex'!$C$335,IF('[1]Tablero de Control'!$B$7='[1]Tablero de Control'!$S$8,L10/'[1]Opex'!$C$336,IF('[1]Tablero de Control'!$B$7='[1]Tablero de Control'!$S$9,L10/'[1]Opex'!$C$337,0)))</f>
        <v>2813.215137263687</v>
      </c>
      <c r="M14" s="21">
        <f>IF('[1]Tablero de Control'!$B$7='[1]Tablero de Control'!$S$7,M10/'[1]Opex'!$C$335,IF('[1]Tablero de Control'!$B$7='[1]Tablero de Control'!$S$8,M10/'[1]Opex'!$C$336,IF('[1]Tablero de Control'!$B$7='[1]Tablero de Control'!$S$9,M10/'[1]Opex'!$C$337,0)))</f>
        <v>2981.892359242698</v>
      </c>
    </row>
    <row r="15" spans="2:13" ht="15.75">
      <c r="B15" s="22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2:13" ht="15.75">
      <c r="B16" s="2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ht="15.75">
      <c r="B17" s="38" t="s">
        <v>161</v>
      </c>
    </row>
    <row r="18" spans="2:13" ht="15.75">
      <c r="B18" s="22" t="s">
        <v>15</v>
      </c>
      <c r="C18" s="21">
        <f>IF('[1]Tablero de Control'!$B$7='[1]Tablero de Control'!$S$7,C14*(1-Entrega!C40),IF('[1]Tablero de Control'!$B$7='[1]Tablero de Control'!$S$8,C14*(1-Entrega!C41),IF('[1]Tablero de Control'!$B$7='[1]Tablero de Control'!$S$9,C14*(1-Entrega!C42),0)))</f>
        <v>1665.777777777778</v>
      </c>
      <c r="D18" s="21">
        <f>IF('[1]Tablero de Control'!$B$7='[1]Tablero de Control'!$S$7,D14*(1-D40)*$C$43,IF('[1]Tablero de Control'!$B$7='[1]Tablero de Control'!$S$8,D14*(1-D41)*$C$43,IF('[1]Tablero de Control'!$B$7='[1]Tablero de Control'!$S$9,D14*(1-D42)*$C$43,0)))</f>
        <v>1747.986775919311</v>
      </c>
      <c r="E18" s="21">
        <f>IF('[1]Tablero de Control'!$B$7='[1]Tablero de Control'!$S$7,E14*(1-E40)*$C$43,IF('[1]Tablero de Control'!$B$7='[1]Tablero de Control'!$S$8,E14*(1-E41)*$C$43,IF('[1]Tablero de Control'!$B$7='[1]Tablero de Control'!$S$9,E14*(1-E42)*$C$43,0)))</f>
        <v>1850.4429650521438</v>
      </c>
      <c r="F18" s="21">
        <f>IF('[1]Tablero de Control'!$B$7='[1]Tablero de Control'!$S$7,F14*(1-F40)*$C$43,IF('[1]Tablero de Control'!$B$7='[1]Tablero de Control'!$S$8,F14*(1-F41)*$C$43,IF('[1]Tablero de Control'!$B$7='[1]Tablero de Control'!$S$9,F14*(1-F42)*$C$43,0)))</f>
        <v>1958.903032137234</v>
      </c>
      <c r="G18" s="21">
        <f>IF('[1]Tablero de Control'!$B$7='[1]Tablero de Control'!$S$7,G14*(1-G40)*$C$43,IF('[1]Tablero de Control'!$B$7='[1]Tablero de Control'!$S$8,G14*(1-G41)*$C$43,IF('[1]Tablero de Control'!$B$7='[1]Tablero de Control'!$S$9,G14*(1-G42)*$C$43,0)))</f>
        <v>2073.7186736511517</v>
      </c>
      <c r="H18" s="21">
        <f>IF('[1]Tablero de Control'!$B$7='[1]Tablero de Control'!$S$7,H14*(1-H40)*$C$43,IF('[1]Tablero de Control'!$B$7='[1]Tablero de Control'!$S$8,H14*(1-H41)*$C$43,IF('[1]Tablero de Control'!$B$7='[1]Tablero de Control'!$S$9,H14*(1-H42)*$C$43,0)))</f>
        <v>2195.2621785392867</v>
      </c>
      <c r="I18" s="21">
        <f>IF('[1]Tablero de Control'!$B$7='[1]Tablero de Control'!$S$7,I14*(1-I40)*$C$43,IF('[1]Tablero de Control'!$B$7='[1]Tablero de Control'!$S$8,I14*(1-I41)*$C$43,IF('[1]Tablero de Control'!$B$7='[1]Tablero de Control'!$S$9,I14*(1-I42)*$C$43,0)))</f>
        <v>2323.9276322726514</v>
      </c>
      <c r="J18" s="21">
        <f>IF('[1]Tablero de Control'!$B$7='[1]Tablero de Control'!$S$7,J14*(1-J40)*$C$43,IF('[1]Tablero de Control'!$B$7='[1]Tablero de Control'!$S$8,J14*(1-J41)*$C$43,IF('[1]Tablero de Control'!$B$7='[1]Tablero de Control'!$S$9,J14*(1-J42)*$C$43,0)))</f>
        <v>2460.132195437461</v>
      </c>
      <c r="K18" s="21">
        <f>IF('[1]Tablero de Control'!$B$7='[1]Tablero de Control'!$S$7,K14*(1-K40)*$C$43,IF('[1]Tablero de Control'!$B$7='[1]Tablero de Control'!$S$8,K14*(1-K41)*$C$43,IF('[1]Tablero de Control'!$B$7='[1]Tablero de Control'!$S$9,K14*(1-K42)*$C$43,0)))</f>
        <v>2604.3174510262525</v>
      </c>
      <c r="L18" s="21">
        <f>IF('[1]Tablero de Control'!$B$7='[1]Tablero de Control'!$S$7,L14*(1-L40)*$C$43,IF('[1]Tablero de Control'!$B$7='[1]Tablero de Control'!$S$8,L14*(1-L41)*$C$43,IF('[1]Tablero de Control'!$B$7='[1]Tablero de Control'!$S$9,L14*(1-L42)*$C$43,0)))</f>
        <v>2756.9508345184136</v>
      </c>
      <c r="M18" s="21">
        <f>IF('[1]Tablero de Control'!$B$7='[1]Tablero de Control'!$S$7,M14*(1-M40)*$C$43,IF('[1]Tablero de Control'!$B$7='[1]Tablero de Control'!$S$8,M14*(1-M41)*$C$43,IF('[1]Tablero de Control'!$B$7='[1]Tablero de Control'!$S$9,M14*(1-M42)*$C$43,0)))</f>
        <v>2918.5271466087906</v>
      </c>
    </row>
    <row r="19" spans="2:13" ht="15.75">
      <c r="B19" s="22" t="s">
        <v>84</v>
      </c>
      <c r="C19" s="21">
        <f>IF('[1]Tablero de Control'!$B$7='[1]Tablero de Control'!$S$7,C18*'[1]Opex'!$C$341,IF('[1]Tablero de Control'!$B$7='[1]Tablero de Control'!$S$8,C18*'[1]Opex'!$C$342,IF('[1]Tablero de Control'!$B$7='[1]Tablero de Control'!$S$9,C18*'[1]Opex'!$C$343,0)))*12/1000000</f>
        <v>15993.679792822857</v>
      </c>
      <c r="D19" s="21">
        <f>IF('[1]Tablero de Control'!$B$7='[1]Tablero de Control'!$S$7,D18*'[1]Opex'!$C$341,IF('[1]Tablero de Control'!$B$7='[1]Tablero de Control'!$S$8,D18*'[1]Opex'!$C$342,IF('[1]Tablero de Control'!$B$7='[1]Tablero de Control'!$S$9,D18*'[1]Opex'!$C$343,0)))*12/1000000</f>
        <v>16782.99539656352</v>
      </c>
      <c r="E19" s="21">
        <f>IF('[1]Tablero de Control'!$B$7='[1]Tablero de Control'!$S$7,E18*'[1]Opex'!$C$341,IF('[1]Tablero de Control'!$B$7='[1]Tablero de Control'!$S$8,E18*'[1]Opex'!$C$342,IF('[1]Tablero de Control'!$B$7='[1]Tablero de Control'!$S$9,E18*'[1]Opex'!$C$343,0)))*12/1000000</f>
        <v>17766.710933920167</v>
      </c>
      <c r="F19" s="21">
        <f>IF('[1]Tablero de Control'!$B$7='[1]Tablero de Control'!$S$7,F18*'[1]Opex'!$C$341,IF('[1]Tablero de Control'!$B$7='[1]Tablero de Control'!$S$8,F18*'[1]Opex'!$C$342,IF('[1]Tablero de Control'!$B$7='[1]Tablero de Control'!$S$9,F18*'[1]Opex'!$C$343,0)))*12/1000000</f>
        <v>18808.071676276304</v>
      </c>
      <c r="G19" s="21">
        <f>IF('[1]Tablero de Control'!$B$7='[1]Tablero de Control'!$S$7,G18*'[1]Opex'!$C$341,IF('[1]Tablero de Control'!$B$7='[1]Tablero de Control'!$S$8,G18*'[1]Opex'!$C$342,IF('[1]Tablero de Control'!$B$7='[1]Tablero de Control'!$S$9,G18*'[1]Opex'!$C$343,0)))*12/1000000</f>
        <v>19910.4543770654</v>
      </c>
      <c r="H19" s="21">
        <f>IF('[1]Tablero de Control'!$B$7='[1]Tablero de Control'!$S$7,H18*'[1]Opex'!$C$341,IF('[1]Tablero de Control'!$B$7='[1]Tablero de Control'!$S$8,H18*'[1]Opex'!$C$342,IF('[1]Tablero de Control'!$B$7='[1]Tablero de Control'!$S$9,H18*'[1]Opex'!$C$343,0)))*12/1000000</f>
        <v>21077.433504780456</v>
      </c>
      <c r="I19" s="21">
        <f>IF('[1]Tablero de Control'!$B$7='[1]Tablero de Control'!$S$7,I18*'[1]Opex'!$C$341,IF('[1]Tablero de Control'!$B$7='[1]Tablero de Control'!$S$8,I18*'[1]Opex'!$C$342,IF('[1]Tablero de Control'!$B$7='[1]Tablero de Control'!$S$9,I18*'[1]Opex'!$C$343,0)))*12/1000000</f>
        <v>22312.792803518936</v>
      </c>
      <c r="J19" s="21">
        <f>IF('[1]Tablero de Control'!$B$7='[1]Tablero de Control'!$S$7,J18*'[1]Opex'!$C$341,IF('[1]Tablero de Control'!$B$7='[1]Tablero de Control'!$S$8,J18*'[1]Opex'!$C$342,IF('[1]Tablero de Control'!$B$7='[1]Tablero de Control'!$S$9,J18*'[1]Opex'!$C$343,0)))*12/1000000</f>
        <v>23620.537569141507</v>
      </c>
      <c r="K19" s="21">
        <f>IF('[1]Tablero de Control'!$B$7='[1]Tablero de Control'!$S$7,K18*'[1]Opex'!$C$341,IF('[1]Tablero de Control'!$B$7='[1]Tablero de Control'!$S$8,K18*'[1]Opex'!$C$342,IF('[1]Tablero de Control'!$B$7='[1]Tablero de Control'!$S$9,K18*'[1]Opex'!$C$343,0)))*12/1000000</f>
        <v>25004.90758505673</v>
      </c>
      <c r="L19" s="21">
        <f>IF('[1]Tablero de Control'!$B$7='[1]Tablero de Control'!$S$7,L18*'[1]Opex'!$C$341,IF('[1]Tablero de Control'!$B$7='[1]Tablero de Control'!$S$8,L18*'[1]Opex'!$C$342,IF('[1]Tablero de Control'!$B$7='[1]Tablero de Control'!$S$9,L18*'[1]Opex'!$C$343,0)))*12/1000000</f>
        <v>26470.390852894165</v>
      </c>
      <c r="M19" s="21">
        <f>IF('[1]Tablero de Control'!$B$7='[1]Tablero de Control'!$S$7,M18*'[1]Opex'!$C$341,IF('[1]Tablero de Control'!$B$7='[1]Tablero de Control'!$S$8,M18*'[1]Opex'!$C$342,IF('[1]Tablero de Control'!$B$7='[1]Tablero de Control'!$S$9,M18*'[1]Opex'!$C$343,0)))*12/1000000</f>
        <v>28021.738116708755</v>
      </c>
    </row>
    <row r="20" spans="2:13" ht="15.75">
      <c r="B20" s="22" t="s">
        <v>185</v>
      </c>
      <c r="C20" s="21">
        <f>C10/C18</f>
        <v>65672.54710287419</v>
      </c>
      <c r="D20" s="21">
        <f aca="true" t="shared" si="1" ref="D20:M20">D10/D18</f>
        <v>66335.90616451939</v>
      </c>
      <c r="E20" s="21">
        <f t="shared" si="1"/>
        <v>66419.76950986011</v>
      </c>
      <c r="F20" s="21">
        <f t="shared" si="1"/>
        <v>66503.84516746753</v>
      </c>
      <c r="G20" s="21">
        <f t="shared" si="1"/>
        <v>66588.13394461262</v>
      </c>
      <c r="H20" s="21">
        <f t="shared" si="1"/>
        <v>66672.63665266415</v>
      </c>
      <c r="I20" s="21">
        <f t="shared" si="1"/>
        <v>66757.3541071148</v>
      </c>
      <c r="J20" s="21">
        <f t="shared" si="1"/>
        <v>66842.28712760731</v>
      </c>
      <c r="K20" s="21">
        <f t="shared" si="1"/>
        <v>66927.43653796095</v>
      </c>
      <c r="L20" s="21">
        <f t="shared" si="1"/>
        <v>67012.80316619815</v>
      </c>
      <c r="M20" s="21">
        <f t="shared" si="1"/>
        <v>67098.38784457133</v>
      </c>
    </row>
    <row r="21" ht="15.75">
      <c r="B21" s="38" t="s">
        <v>193</v>
      </c>
    </row>
    <row r="22" spans="2:13" ht="15.75">
      <c r="B22" s="22" t="s">
        <v>15</v>
      </c>
      <c r="C22" s="21">
        <f>C18*C23/C19</f>
        <v>0</v>
      </c>
      <c r="D22" s="21">
        <f aca="true" t="shared" si="2" ref="D22:M22">D18*D23/D19</f>
        <v>0</v>
      </c>
      <c r="E22" s="21">
        <f t="shared" si="2"/>
        <v>0</v>
      </c>
      <c r="F22" s="21">
        <f t="shared" si="2"/>
        <v>0</v>
      </c>
      <c r="G22" s="21">
        <f t="shared" si="2"/>
        <v>0</v>
      </c>
      <c r="H22" s="21">
        <f t="shared" si="2"/>
        <v>0</v>
      </c>
      <c r="I22" s="21">
        <f t="shared" si="2"/>
        <v>0</v>
      </c>
      <c r="J22" s="21">
        <f t="shared" si="2"/>
        <v>0</v>
      </c>
      <c r="K22" s="21">
        <f t="shared" si="2"/>
        <v>0</v>
      </c>
      <c r="L22" s="21">
        <f t="shared" si="2"/>
        <v>0</v>
      </c>
      <c r="M22" s="21">
        <f t="shared" si="2"/>
        <v>0</v>
      </c>
    </row>
    <row r="23" spans="2:13" ht="15.75">
      <c r="B23" s="22" t="s">
        <v>84</v>
      </c>
      <c r="C23" s="21">
        <f>IF('[1]Tablero de Control'!$B$34='[1]Tablero de Control'!$S$41,0,C10*'[1]Tablero de Control'!$B$34*C19/C10*'[1]Tablero de Control'!$B$37)</f>
        <v>0</v>
      </c>
      <c r="D23" s="21">
        <f>IF('[1]Tablero de Control'!$B$34='[1]Tablero de Control'!$S$41,0,D10*'[1]Tablero de Control'!$B$34*D19/D10*'[1]Tablero de Control'!$B$37)</f>
        <v>0</v>
      </c>
      <c r="E23" s="21">
        <f>IF('[1]Tablero de Control'!$B$34='[1]Tablero de Control'!$S$41,0,E10*'[1]Tablero de Control'!$B$34*E19/E10*'[1]Tablero de Control'!$B$37)</f>
        <v>0</v>
      </c>
      <c r="F23" s="21">
        <f>IF('[1]Tablero de Control'!$B$34='[1]Tablero de Control'!$S$41,0,F10*'[1]Tablero de Control'!$B$34*F19/F10*'[1]Tablero de Control'!$B$37)</f>
        <v>0</v>
      </c>
      <c r="G23" s="21">
        <f>IF('[1]Tablero de Control'!$B$34='[1]Tablero de Control'!$S$41,0,G10*'[1]Tablero de Control'!$B$34*G19/G10*'[1]Tablero de Control'!$B$37)</f>
        <v>0</v>
      </c>
      <c r="H23" s="21">
        <f>IF('[1]Tablero de Control'!$B$34='[1]Tablero de Control'!$S$41,0,H10*'[1]Tablero de Control'!$B$34*H19/H10*'[1]Tablero de Control'!$B$37)</f>
        <v>0</v>
      </c>
      <c r="I23" s="21">
        <f>IF('[1]Tablero de Control'!$B$34='[1]Tablero de Control'!$S$41,0,I10*'[1]Tablero de Control'!$B$34*I19/I10*'[1]Tablero de Control'!$B$37)</f>
        <v>0</v>
      </c>
      <c r="J23" s="21">
        <f>IF('[1]Tablero de Control'!$B$34='[1]Tablero de Control'!$S$41,0,J10*'[1]Tablero de Control'!$B$34*J19/J10*'[1]Tablero de Control'!$B$37)</f>
        <v>0</v>
      </c>
      <c r="K23" s="21">
        <f>IF('[1]Tablero de Control'!$B$34='[1]Tablero de Control'!$S$41,0,K10*'[1]Tablero de Control'!$B$34*K19/K10*'[1]Tablero de Control'!$B$37)</f>
        <v>0</v>
      </c>
      <c r="L23" s="21">
        <f>IF('[1]Tablero de Control'!$B$34='[1]Tablero de Control'!$S$41,0,L10*'[1]Tablero de Control'!$B$34*L19/L10*'[1]Tablero de Control'!$B$37)</f>
        <v>0</v>
      </c>
      <c r="M23" s="21">
        <f>IF('[1]Tablero de Control'!$B$34='[1]Tablero de Control'!$S$41,0,M10*'[1]Tablero de Control'!$B$34*M19/M10*'[1]Tablero de Control'!$B$37)</f>
        <v>0</v>
      </c>
    </row>
    <row r="24" ht="15.75">
      <c r="B24" s="38" t="s">
        <v>187</v>
      </c>
    </row>
    <row r="25" spans="2:13" ht="15.75">
      <c r="B25" s="22" t="s">
        <v>140</v>
      </c>
      <c r="C25" s="21">
        <f>IF('[1]Tablero de Control'!$B$7='[1]Tablero de Control'!$S$7,0,IF('[1]Tablero de Control'!$B$7='[1]Tablero de Control'!$S$8,('[1]Opex'!$C$345*'[1]Opex'!$D$345+'[1]Opex'!$C$346*'[1]Opex'!$D$346)*'[1]Opex'!$C$347,IF('[1]Tablero de Control'!$B$7='[1]Tablero de Control'!$S$9,('[1]Opex'!$C$345*'[1]Opex'!$D$345+'[1]Opex'!$C$346*'[1]Opex'!$D$346)*'[1]Opex'!$C$347,0)))*12/1000000</f>
        <v>0</v>
      </c>
      <c r="D25" s="21">
        <f>IF('[1]Tablero de Control'!$B$7='[1]Tablero de Control'!$S$7,0,IF('[1]Tablero de Control'!$B$7='[1]Tablero de Control'!$S$8,('[1]Opex'!$C$345*'[1]Opex'!$D$345+'[1]Opex'!$C$346*'[1]Opex'!$D$346)*'[1]Opex'!$C$347,IF('[1]Tablero de Control'!$B$7='[1]Tablero de Control'!$S$9,('[1]Opex'!$C$345*'[1]Opex'!$D$345+'[1]Opex'!$C$346*'[1]Opex'!$D$346)*'[1]Opex'!$C$347,0)))*12/1000000</f>
        <v>0</v>
      </c>
      <c r="E25" s="21">
        <f>IF('[1]Tablero de Control'!$B$7='[1]Tablero de Control'!$S$7,0,IF('[1]Tablero de Control'!$B$7='[1]Tablero de Control'!$S$8,('[1]Opex'!$C$345*'[1]Opex'!$D$345+'[1]Opex'!$C$346*'[1]Opex'!$D$346)*'[1]Opex'!$C$347,IF('[1]Tablero de Control'!$B$7='[1]Tablero de Control'!$S$9,('[1]Opex'!$C$345*'[1]Opex'!$D$345+'[1]Opex'!$C$346*'[1]Opex'!$D$346)*'[1]Opex'!$C$347,0)))*12/1000000</f>
        <v>0</v>
      </c>
      <c r="F25" s="21">
        <f>IF('[1]Tablero de Control'!$B$7='[1]Tablero de Control'!$S$7,0,IF('[1]Tablero de Control'!$B$7='[1]Tablero de Control'!$S$8,('[1]Opex'!$C$345*'[1]Opex'!$D$345+'[1]Opex'!$C$346*'[1]Opex'!$D$346)*'[1]Opex'!$C$347,IF('[1]Tablero de Control'!$B$7='[1]Tablero de Control'!$S$9,('[1]Opex'!$C$345*'[1]Opex'!$D$345+'[1]Opex'!$C$346*'[1]Opex'!$D$346)*'[1]Opex'!$C$347,0)))*12/1000000</f>
        <v>0</v>
      </c>
      <c r="G25" s="21">
        <f>IF('[1]Tablero de Control'!$B$7='[1]Tablero de Control'!$S$7,0,IF('[1]Tablero de Control'!$B$7='[1]Tablero de Control'!$S$8,('[1]Opex'!$C$345*'[1]Opex'!$D$345+'[1]Opex'!$C$346*'[1]Opex'!$D$346)*'[1]Opex'!$C$347,IF('[1]Tablero de Control'!$B$7='[1]Tablero de Control'!$S$9,('[1]Opex'!$C$345*'[1]Opex'!$D$345+'[1]Opex'!$C$346*'[1]Opex'!$D$346)*'[1]Opex'!$C$347,0)))*12/1000000</f>
        <v>0</v>
      </c>
      <c r="H25" s="21">
        <f>IF('[1]Tablero de Control'!$B$7='[1]Tablero de Control'!$S$7,0,IF('[1]Tablero de Control'!$B$7='[1]Tablero de Control'!$S$8,('[1]Opex'!$C$345*'[1]Opex'!$D$345+'[1]Opex'!$C$346*'[1]Opex'!$D$346)*'[1]Opex'!$C$347,IF('[1]Tablero de Control'!$B$7='[1]Tablero de Control'!$S$9,('[1]Opex'!$C$345*'[1]Opex'!$D$345+'[1]Opex'!$C$346*'[1]Opex'!$D$346)*'[1]Opex'!$C$347,0)))*12/1000000</f>
        <v>0</v>
      </c>
      <c r="I25" s="21">
        <f>IF('[1]Tablero de Control'!$B$7='[1]Tablero de Control'!$S$7,0,IF('[1]Tablero de Control'!$B$7='[1]Tablero de Control'!$S$8,('[1]Opex'!$C$345*'[1]Opex'!$D$345+'[1]Opex'!$C$346*'[1]Opex'!$D$346)*'[1]Opex'!$C$347,IF('[1]Tablero de Control'!$B$7='[1]Tablero de Control'!$S$9,('[1]Opex'!$C$345*'[1]Opex'!$D$345+'[1]Opex'!$C$346*'[1]Opex'!$D$346)*'[1]Opex'!$C$347,0)))*12/1000000</f>
        <v>0</v>
      </c>
      <c r="J25" s="21">
        <f>IF('[1]Tablero de Control'!$B$7='[1]Tablero de Control'!$S$7,0,IF('[1]Tablero de Control'!$B$7='[1]Tablero de Control'!$S$8,('[1]Opex'!$C$345*'[1]Opex'!$D$345+'[1]Opex'!$C$346*'[1]Opex'!$D$346)*'[1]Opex'!$C$347,IF('[1]Tablero de Control'!$B$7='[1]Tablero de Control'!$S$9,('[1]Opex'!$C$345*'[1]Opex'!$D$345+'[1]Opex'!$C$346*'[1]Opex'!$D$346)*'[1]Opex'!$C$347,0)))*12/1000000</f>
        <v>0</v>
      </c>
      <c r="K25" s="21">
        <f>IF('[1]Tablero de Control'!$B$7='[1]Tablero de Control'!$S$7,0,IF('[1]Tablero de Control'!$B$7='[1]Tablero de Control'!$S$8,('[1]Opex'!$C$345*'[1]Opex'!$D$345+'[1]Opex'!$C$346*'[1]Opex'!$D$346)*'[1]Opex'!$C$347,IF('[1]Tablero de Control'!$B$7='[1]Tablero de Control'!$S$9,('[1]Opex'!$C$345*'[1]Opex'!$D$345+'[1]Opex'!$C$346*'[1]Opex'!$D$346)*'[1]Opex'!$C$347,0)))*12/1000000</f>
        <v>0</v>
      </c>
      <c r="L25" s="21">
        <f>IF('[1]Tablero de Control'!$B$7='[1]Tablero de Control'!$S$7,0,IF('[1]Tablero de Control'!$B$7='[1]Tablero de Control'!$S$8,('[1]Opex'!$C$345*'[1]Opex'!$D$345+'[1]Opex'!$C$346*'[1]Opex'!$D$346)*'[1]Opex'!$C$347,IF('[1]Tablero de Control'!$B$7='[1]Tablero de Control'!$S$9,('[1]Opex'!$C$345*'[1]Opex'!$D$345+'[1]Opex'!$C$346*'[1]Opex'!$D$346)*'[1]Opex'!$C$347,0)))*12/1000000</f>
        <v>0</v>
      </c>
      <c r="M25" s="21">
        <f>IF('[1]Tablero de Control'!$B$7='[1]Tablero de Control'!$S$7,0,IF('[1]Tablero de Control'!$B$7='[1]Tablero de Control'!$S$8,('[1]Opex'!$C$345*'[1]Opex'!$D$345+'[1]Opex'!$C$346*'[1]Opex'!$D$346)*'[1]Opex'!$C$347,IF('[1]Tablero de Control'!$B$7='[1]Tablero de Control'!$S$9,('[1]Opex'!$C$345*'[1]Opex'!$D$345+'[1]Opex'!$C$346*'[1]Opex'!$D$346)*'[1]Opex'!$C$347,0)))*12/1000000</f>
        <v>0</v>
      </c>
    </row>
    <row r="26" ht="15.75">
      <c r="B26" s="38" t="s">
        <v>188</v>
      </c>
    </row>
    <row r="27" spans="2:13" ht="15.75">
      <c r="B27" s="2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ht="15.75">
      <c r="B28" s="22" t="s">
        <v>85</v>
      </c>
      <c r="C28" s="21">
        <f>+C19+C23+C25</f>
        <v>15993.679792822857</v>
      </c>
      <c r="D28" s="21">
        <f aca="true" t="shared" si="3" ref="D28:M28">+D19+D23+D25</f>
        <v>16782.99539656352</v>
      </c>
      <c r="E28" s="21">
        <f t="shared" si="3"/>
        <v>17766.710933920167</v>
      </c>
      <c r="F28" s="21">
        <f t="shared" si="3"/>
        <v>18808.071676276304</v>
      </c>
      <c r="G28" s="21">
        <f t="shared" si="3"/>
        <v>19910.4543770654</v>
      </c>
      <c r="H28" s="21">
        <f t="shared" si="3"/>
        <v>21077.433504780456</v>
      </c>
      <c r="I28" s="21">
        <f t="shared" si="3"/>
        <v>22312.792803518936</v>
      </c>
      <c r="J28" s="21">
        <f t="shared" si="3"/>
        <v>23620.537569141507</v>
      </c>
      <c r="K28" s="21">
        <f t="shared" si="3"/>
        <v>25004.90758505673</v>
      </c>
      <c r="L28" s="21">
        <f t="shared" si="3"/>
        <v>26470.390852894165</v>
      </c>
      <c r="M28" s="21">
        <f t="shared" si="3"/>
        <v>28021.738116708755</v>
      </c>
    </row>
    <row r="29" ht="15.75">
      <c r="B29" s="38" t="s">
        <v>189</v>
      </c>
    </row>
    <row r="30" spans="2:13" ht="15.75">
      <c r="B30" s="22" t="s">
        <v>157</v>
      </c>
      <c r="C30" s="21">
        <f>IF('[1]Tablero de Control'!$B$7='[1]Tablero de Control'!$S$7,0,'[1]Capex'!$C$136*SUM('[1]Opex'!$C$381:$C$382)/1000000)</f>
        <v>0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2:13" ht="15.75">
      <c r="B31" s="22" t="s">
        <v>158</v>
      </c>
      <c r="C31" s="21">
        <f>IF('[1]Tablero de Control'!$B$7='[1]Tablero de Control'!$S$7,0,'[1]Capex'!$C$138*SUM('[1]Opex'!$C$381:$C$382)/1000000)</f>
        <v>0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2:13" ht="15.75">
      <c r="B32" s="22" t="s">
        <v>213</v>
      </c>
      <c r="C32" s="21">
        <f>IF('[1]Tablero de Control'!$B$47='[1]Tablero de Control'!$S$65,0,IF('[1]Tablero de Control'!$B$50='[1]Tablero de Control'!$S$73,'[1]Capex'!$C$140*(C18+C22),IF('[1]Tablero de Control'!$B$50='[1]Tablero de Control'!$S$74,'[1]Capex'!$C$141*(C18+C22)+'[1]Capex'!$C$142*(C18+C22)/'[1]Capex'!$C$143,0)))/1000000</f>
        <v>0</v>
      </c>
      <c r="D32" s="21">
        <f>IF('[1]Tablero de Control'!$B$47='[1]Tablero de Control'!$S$65,0,IF('[1]Tablero de Control'!$B$50='[1]Tablero de Control'!$S$73,'[1]Capex'!$C$140*(D18-C18+D22-C22),IF('[1]Tablero de Control'!$B$50='[1]Tablero de Control'!$S$74,'[1]Capex'!$C$141*(D18-C18+D22-C22)+'[1]Capex'!$C$142*(D18-C18+D22-C22)/'[1]Capex'!$C$143,0)))/1000000</f>
        <v>0</v>
      </c>
      <c r="E32" s="21">
        <f>IF('[1]Tablero de Control'!$B$47='[1]Tablero de Control'!$S$65,0,IF('[1]Tablero de Control'!$B$50='[1]Tablero de Control'!$S$73,'[1]Capex'!$C$140*(E18-D18+E22-D22),IF('[1]Tablero de Control'!$B$50='[1]Tablero de Control'!$S$74,'[1]Capex'!$C$141*(E18-D18+E22-D22)+'[1]Capex'!$C$142*(E18-D18+E22-D22)/'[1]Capex'!$C$143,0)))/1000000</f>
        <v>0</v>
      </c>
      <c r="F32" s="21">
        <f>IF('[1]Tablero de Control'!$B$47='[1]Tablero de Control'!$S$65,0,IF('[1]Tablero de Control'!$B$50='[1]Tablero de Control'!$S$73,'[1]Capex'!$C$140*(F18-E18+F22-E22),IF('[1]Tablero de Control'!$B$50='[1]Tablero de Control'!$S$74,'[1]Capex'!$C$141*(F18-E18+F22-E22)+'[1]Capex'!$C$142*(F18-E18+F22-E22)/'[1]Capex'!$C$143,0)))/1000000</f>
        <v>0</v>
      </c>
      <c r="G32" s="21">
        <f>IF('[1]Tablero de Control'!$B$47='[1]Tablero de Control'!$S$65,0,IF('[1]Tablero de Control'!$B$50='[1]Tablero de Control'!$S$73,'[1]Capex'!$C$140*(G18-F18+G22-F22),IF('[1]Tablero de Control'!$B$50='[1]Tablero de Control'!$S$74,'[1]Capex'!$C$141*(G18-F18+G22-F22)+'[1]Capex'!$C$142*(G18-F18+G22-F22)/'[1]Capex'!$C$143,0)))/1000000</f>
        <v>0</v>
      </c>
      <c r="H32" s="21">
        <f>IF('[1]Tablero de Control'!$B$47='[1]Tablero de Control'!$S$65,0,IF('[1]Tablero de Control'!$B$50='[1]Tablero de Control'!$S$73,'[1]Capex'!$C$140*(H18-G18+H22-G22),IF('[1]Tablero de Control'!$B$50='[1]Tablero de Control'!$S$74,'[1]Capex'!$C$141*(H18-G18+H22-G22)+'[1]Capex'!$C$142*(H18-G18+H22-G22)/'[1]Capex'!$C$143,0)))/1000000</f>
        <v>0</v>
      </c>
      <c r="I32" s="21">
        <f>IF('[1]Tablero de Control'!$B$47='[1]Tablero de Control'!$S$65,0,IF('[1]Tablero de Control'!$B$50='[1]Tablero de Control'!$S$73,'[1]Capex'!$C$140*(I18-H18+I22-H22),IF('[1]Tablero de Control'!$B$50='[1]Tablero de Control'!$S$74,'[1]Capex'!$C$141*(I18-H18+I22-H22)+'[1]Capex'!$C$142*(I18-H18+I22-H22)/'[1]Capex'!$C$143,0)))/1000000</f>
        <v>0</v>
      </c>
      <c r="J32" s="21">
        <f>IF('[1]Tablero de Control'!$B$47='[1]Tablero de Control'!$S$65,0,IF('[1]Tablero de Control'!$B$50='[1]Tablero de Control'!$S$73,'[1]Capex'!$C$140*(J18-I18+J22-I22),IF('[1]Tablero de Control'!$B$50='[1]Tablero de Control'!$S$74,'[1]Capex'!$C$141*(J18-I18+J22-I22)+'[1]Capex'!$C$142*(J18-I18+J22-I22)/'[1]Capex'!$C$143,0)))/1000000</f>
        <v>0</v>
      </c>
      <c r="K32" s="21">
        <f>IF('[1]Tablero de Control'!$B$47='[1]Tablero de Control'!$S$65,0,IF('[1]Tablero de Control'!$B$50='[1]Tablero de Control'!$S$73,'[1]Capex'!$C$140*(K18-J18+K22-J22),IF('[1]Tablero de Control'!$B$50='[1]Tablero de Control'!$S$74,'[1]Capex'!$C$141*(K18-J18+K22-J22)+'[1]Capex'!$C$142*(K18-J18+K22-J22)/'[1]Capex'!$C$143,0)))/1000000</f>
        <v>0</v>
      </c>
      <c r="L32" s="21">
        <f>IF('[1]Tablero de Control'!$B$47='[1]Tablero de Control'!$S$65,0,IF('[1]Tablero de Control'!$B$50='[1]Tablero de Control'!$S$73,'[1]Capex'!$C$140*(L18-K18+L22-K22),IF('[1]Tablero de Control'!$B$50='[1]Tablero de Control'!$S$74,'[1]Capex'!$C$141*(L18-K18+L22-K22)+'[1]Capex'!$C$142*(L18-K18+L22-K22)/'[1]Capex'!$C$143,0)))/1000000</f>
        <v>0</v>
      </c>
      <c r="M32" s="21">
        <f>IF('[1]Tablero de Control'!$B$47='[1]Tablero de Control'!$S$65,0,IF('[1]Tablero de Control'!$B$50='[1]Tablero de Control'!$S$73,'[1]Capex'!$C$140*(M18-L18+M22-L22),IF('[1]Tablero de Control'!$B$50='[1]Tablero de Control'!$S$74,'[1]Capex'!$C$141*(M18-L18+M22-L22)+'[1]Capex'!$C$142*(M18-L18+M22-L22)/'[1]Capex'!$C$143,0)))/1000000</f>
        <v>0</v>
      </c>
    </row>
    <row r="33" spans="2:13" ht="15.75">
      <c r="B33" s="22" t="s">
        <v>214</v>
      </c>
      <c r="C33" s="21">
        <f>IF('[1]Tablero de Control'!$B$53='[1]Tablero de Control'!$S$77,0,IF('[1]Tablero de Control'!$B$53='[1]Tablero de Control'!$S$78,'[1]Capex'!$C$140*(C18+C22),IF('[1]Tablero de Control'!$B$53='[1]Tablero de Control'!$S$79,'[1]Capex'!$C$141*(C18+C22)+'[1]Capex'!$C$142*(C18+C22)/'[1]Capex'!$C$143,0)))/1000000</f>
        <v>0</v>
      </c>
      <c r="D33" s="21">
        <f>IF('[1]Tablero de Control'!$B$53='[1]Tablero de Control'!$S$77,0,IF('[1]Tablero de Control'!$B$53='[1]Tablero de Control'!$S$78,'[1]Capex'!$C$140*(D18-C18+D22-C22),IF('[1]Tablero de Control'!$B$53='[1]Tablero de Control'!$S$79,'[1]Capex'!$C$141*(D18-C18+D22-C22)+'[1]Capex'!$C$142*(D18-C18+D22-C22)/'[1]Capex'!$C$143,0)))/1000000</f>
        <v>0</v>
      </c>
      <c r="E33" s="21">
        <f>IF('[1]Tablero de Control'!$B$53='[1]Tablero de Control'!$S$77,0,IF('[1]Tablero de Control'!$B$53='[1]Tablero de Control'!$S$78,'[1]Capex'!$C$140*(E18-D18+E22-D22),IF('[1]Tablero de Control'!$B$53='[1]Tablero de Control'!$S$79,'[1]Capex'!$C$141*(E18-D18+E22-D22)+'[1]Capex'!$C$142*(E18-D18+E22-D22)/'[1]Capex'!$C$143,0)))/1000000</f>
        <v>0</v>
      </c>
      <c r="F33" s="21">
        <f>IF('[1]Tablero de Control'!$B$53='[1]Tablero de Control'!$S$77,0,IF('[1]Tablero de Control'!$B$53='[1]Tablero de Control'!$S$78,'[1]Capex'!$C$140*(F18-E18+F22-E22),IF('[1]Tablero de Control'!$B$53='[1]Tablero de Control'!$S$79,'[1]Capex'!$C$141*(F18-E18+F22-E22)+'[1]Capex'!$C$142*(F18-E18+F22-E22)/'[1]Capex'!$C$143,0)))/1000000</f>
        <v>0</v>
      </c>
      <c r="G33" s="21">
        <f>IF('[1]Tablero de Control'!$B$53='[1]Tablero de Control'!$S$77,0,IF('[1]Tablero de Control'!$B$53='[1]Tablero de Control'!$S$78,'[1]Capex'!$C$140*(G18-F18+G22-F22),IF('[1]Tablero de Control'!$B$53='[1]Tablero de Control'!$S$79,'[1]Capex'!$C$141*(G18-F18+G22-F22)+'[1]Capex'!$C$142*(G18-F18+G22-F22)/'[1]Capex'!$C$143,0)))/1000000</f>
        <v>0</v>
      </c>
      <c r="H33" s="21">
        <f>IF('[1]Tablero de Control'!$B$53='[1]Tablero de Control'!$S$77,0,IF('[1]Tablero de Control'!$B$53='[1]Tablero de Control'!$S$78,'[1]Capex'!$C$140*(H18-G18+H22-G22),IF('[1]Tablero de Control'!$B$53='[1]Tablero de Control'!$S$79,'[1]Capex'!$C$141*(H18-G18+H22-G22)+'[1]Capex'!$C$142*(H18-G18+H22-G22)/'[1]Capex'!$C$143,0)))/1000000</f>
        <v>0</v>
      </c>
      <c r="I33" s="21">
        <f>IF('[1]Tablero de Control'!$B$53='[1]Tablero de Control'!$S$77,0,IF('[1]Tablero de Control'!$B$53='[1]Tablero de Control'!$S$78,'[1]Capex'!$C$140*(I18-H18+I22-H22),IF('[1]Tablero de Control'!$B$53='[1]Tablero de Control'!$S$79,'[1]Capex'!$C$141*(I18-H18+I22-H22)+'[1]Capex'!$C$142*(I18-H18+I22-H22)/'[1]Capex'!$C$143,0)))/1000000</f>
        <v>0</v>
      </c>
      <c r="J33" s="21">
        <f>IF('[1]Tablero de Control'!$B$53='[1]Tablero de Control'!$S$77,0,IF('[1]Tablero de Control'!$B$53='[1]Tablero de Control'!$S$78,'[1]Capex'!$C$140*(J18-I18+J22-I22),IF('[1]Tablero de Control'!$B$53='[1]Tablero de Control'!$S$79,'[1]Capex'!$C$141*(J18-I18+J22-I22)+'[1]Capex'!$C$142*(J18-I18+J22-I22)/'[1]Capex'!$C$143,0)))/1000000</f>
        <v>0</v>
      </c>
      <c r="K33" s="21">
        <f>IF('[1]Tablero de Control'!$B$53='[1]Tablero de Control'!$S$77,0,IF('[1]Tablero de Control'!$B$53='[1]Tablero de Control'!$S$78,'[1]Capex'!$C$140*(K18-J18+K22-J22),IF('[1]Tablero de Control'!$B$53='[1]Tablero de Control'!$S$79,'[1]Capex'!$C$141*(K18-J18+K22-J22)+'[1]Capex'!$C$142*(K18-J18+K22-J22)/'[1]Capex'!$C$143,0)))/1000000</f>
        <v>0</v>
      </c>
      <c r="L33" s="21">
        <f>IF('[1]Tablero de Control'!$B$53='[1]Tablero de Control'!$S$77,0,IF('[1]Tablero de Control'!$B$53='[1]Tablero de Control'!$S$78,'[1]Capex'!$C$140*(L18-K18+L22-K22),IF('[1]Tablero de Control'!$B$53='[1]Tablero de Control'!$S$79,'[1]Capex'!$C$141*(L18-K18+L22-K22)+'[1]Capex'!$C$142*(L18-K18+L22-K22)/'[1]Capex'!$C$143,0)))/1000000</f>
        <v>0</v>
      </c>
      <c r="M33" s="21">
        <f>IF('[1]Tablero de Control'!$B$53='[1]Tablero de Control'!$S$77,0,IF('[1]Tablero de Control'!$B$53='[1]Tablero de Control'!$S$78,'[1]Capex'!$C$140*(M18-L18+M22-L22),IF('[1]Tablero de Control'!$B$53='[1]Tablero de Control'!$S$79,'[1]Capex'!$C$141*(M18-L18+M22-L22)+'[1]Capex'!$C$142*(M18-L18+M22-L22)/'[1]Capex'!$C$143,0)))/1000000</f>
        <v>0</v>
      </c>
    </row>
    <row r="34" ht="15.75">
      <c r="B34" s="38" t="s">
        <v>190</v>
      </c>
    </row>
    <row r="35" spans="2:13" ht="15.75" hidden="1">
      <c r="B35" s="93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2:13" ht="15.75" hidden="1">
      <c r="B36" s="22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ht="15.75">
      <c r="B37" s="93" t="s">
        <v>85</v>
      </c>
    </row>
    <row r="38" spans="2:13" ht="15.75">
      <c r="B38" s="22" t="s">
        <v>84</v>
      </c>
      <c r="C38" s="21">
        <f>+C19+C25</f>
        <v>15993.679792822857</v>
      </c>
      <c r="D38" s="21">
        <f>+D19+D25</f>
        <v>16782.99539656352</v>
      </c>
      <c r="E38" s="21">
        <f aca="true" t="shared" si="4" ref="E38:M38">+E19+E25</f>
        <v>17766.710933920167</v>
      </c>
      <c r="F38" s="21">
        <f t="shared" si="4"/>
        <v>18808.071676276304</v>
      </c>
      <c r="G38" s="21">
        <f t="shared" si="4"/>
        <v>19910.4543770654</v>
      </c>
      <c r="H38" s="21">
        <f t="shared" si="4"/>
        <v>21077.433504780456</v>
      </c>
      <c r="I38" s="21">
        <f t="shared" si="4"/>
        <v>22312.792803518936</v>
      </c>
      <c r="J38" s="21">
        <f t="shared" si="4"/>
        <v>23620.537569141507</v>
      </c>
      <c r="K38" s="21">
        <f t="shared" si="4"/>
        <v>25004.90758505673</v>
      </c>
      <c r="L38" s="21">
        <f t="shared" si="4"/>
        <v>26470.390852894165</v>
      </c>
      <c r="M38" s="21">
        <f t="shared" si="4"/>
        <v>28021.738116708755</v>
      </c>
    </row>
    <row r="39" ht="15.75">
      <c r="B39" s="65" t="s">
        <v>191</v>
      </c>
    </row>
    <row r="40" spans="2:13" ht="15.75">
      <c r="B40" s="113" t="s">
        <v>232</v>
      </c>
      <c r="C40" s="114"/>
      <c r="D40" s="114">
        <f>C40+'[1]Opex'!C339</f>
        <v>0.01</v>
      </c>
      <c r="E40" s="114">
        <f>D40+'[1]Opex'!D339</f>
        <v>0.01125</v>
      </c>
      <c r="F40" s="114">
        <f>E40+'[1]Opex'!E339</f>
        <v>0.012499999999999999</v>
      </c>
      <c r="G40" s="114">
        <f>F40+'[1]Opex'!F339</f>
        <v>0.013749999999999998</v>
      </c>
      <c r="H40" s="114">
        <f>G40+'[1]Opex'!G339</f>
        <v>0.014999999999999998</v>
      </c>
      <c r="I40" s="114">
        <f>H40+'[1]Opex'!H339</f>
        <v>0.016249999999999997</v>
      </c>
      <c r="J40" s="114">
        <f>I40+'[1]Opex'!I339</f>
        <v>0.017499999999999998</v>
      </c>
      <c r="K40" s="114">
        <f>J40+'[1]Opex'!J339</f>
        <v>0.01875</v>
      </c>
      <c r="L40" s="114">
        <f>K40+'[1]Opex'!K339</f>
        <v>0.02</v>
      </c>
      <c r="M40" s="114">
        <f>L40+'[1]Opex'!L339</f>
        <v>0.02125</v>
      </c>
    </row>
    <row r="41" spans="2:13" ht="15.75">
      <c r="B41" s="113" t="s">
        <v>233</v>
      </c>
      <c r="C41" s="114"/>
      <c r="D41" s="114">
        <f>C41+'[1]Opex'!C339</f>
        <v>0.01</v>
      </c>
      <c r="E41" s="114">
        <f>D41+'[1]Opex'!D339</f>
        <v>0.01125</v>
      </c>
      <c r="F41" s="114">
        <f>E41+'[1]Opex'!E339</f>
        <v>0.012499999999999999</v>
      </c>
      <c r="G41" s="114">
        <f>F41+'[1]Opex'!F339</f>
        <v>0.013749999999999998</v>
      </c>
      <c r="H41" s="114">
        <f>G41+'[1]Opex'!G339</f>
        <v>0.014999999999999998</v>
      </c>
      <c r="I41" s="114">
        <f>H41+'[1]Opex'!H339</f>
        <v>0.016249999999999997</v>
      </c>
      <c r="J41" s="114">
        <f>I41+'[1]Opex'!I339</f>
        <v>0.017499999999999998</v>
      </c>
      <c r="K41" s="114">
        <f>J41+'[1]Opex'!J339</f>
        <v>0.01875</v>
      </c>
      <c r="L41" s="114">
        <f>K41+'[1]Opex'!K339</f>
        <v>0.02</v>
      </c>
      <c r="M41" s="114">
        <f>L41+'[1]Opex'!L339</f>
        <v>0.02125</v>
      </c>
    </row>
    <row r="42" spans="2:13" ht="15.75">
      <c r="B42" s="113" t="s">
        <v>234</v>
      </c>
      <c r="C42" s="114"/>
      <c r="D42" s="114">
        <f>C42+'[1]Opex'!C339</f>
        <v>0.01</v>
      </c>
      <c r="E42" s="114">
        <f>D42+'[1]Opex'!D339</f>
        <v>0.01125</v>
      </c>
      <c r="F42" s="114">
        <f>E42+'[1]Opex'!E339</f>
        <v>0.012499999999999999</v>
      </c>
      <c r="G42" s="114">
        <f>F42+'[1]Opex'!F339</f>
        <v>0.013749999999999998</v>
      </c>
      <c r="H42" s="114">
        <f>G42+'[1]Opex'!G339</f>
        <v>0.014999999999999998</v>
      </c>
      <c r="I42" s="114">
        <f>H42+'[1]Opex'!H339</f>
        <v>0.016249999999999997</v>
      </c>
      <c r="J42" s="114">
        <f>I42+'[1]Opex'!I339</f>
        <v>0.017499999999999998</v>
      </c>
      <c r="K42" s="114">
        <f>J42+'[1]Opex'!J339</f>
        <v>0.01875</v>
      </c>
      <c r="L42" s="114">
        <f>K42+'[1]Opex'!K339</f>
        <v>0.02</v>
      </c>
      <c r="M42" s="114">
        <f>L42+'[1]Opex'!L339</f>
        <v>0.02125</v>
      </c>
    </row>
    <row r="43" spans="2:3" ht="15.75">
      <c r="B43" s="38" t="s">
        <v>192</v>
      </c>
      <c r="C43" s="137">
        <f>IF('[1]Tablero de Control'!$B$26='[1]Tablero de Control'!$S$34,1,Transporte!C100)</f>
        <v>1</v>
      </c>
    </row>
    <row r="45" spans="3:13" ht="15"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</row>
    <row r="46" spans="4:13" ht="15">
      <c r="D46" s="133"/>
      <c r="E46" s="133"/>
      <c r="F46" s="133"/>
      <c r="G46" s="133"/>
      <c r="H46" s="133"/>
      <c r="I46" s="133"/>
      <c r="J46" s="133"/>
      <c r="K46" s="133"/>
      <c r="L46" s="133"/>
      <c r="M46" s="133"/>
    </row>
    <row r="47" spans="4:13" ht="15">
      <c r="D47" s="133"/>
      <c r="E47" s="133"/>
      <c r="F47" s="133"/>
      <c r="G47" s="133"/>
      <c r="H47" s="133"/>
      <c r="I47" s="133"/>
      <c r="J47" s="133"/>
      <c r="K47" s="133"/>
      <c r="L47" s="133"/>
      <c r="M47" s="133"/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D40:D42 E40:M4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7">
      <selection activeCell="D20" sqref="D20"/>
    </sheetView>
  </sheetViews>
  <sheetFormatPr defaultColWidth="11.421875" defaultRowHeight="15"/>
  <cols>
    <col min="1" max="1" width="1.7109375" style="1" customWidth="1"/>
    <col min="2" max="2" width="50.57421875" style="1" bestFit="1" customWidth="1"/>
    <col min="3" max="3" width="14.140625" style="1" bestFit="1" customWidth="1"/>
    <col min="4" max="13" width="12.421875" style="1" bestFit="1" customWidth="1"/>
    <col min="14" max="16384" width="11.421875" style="1" customWidth="1"/>
  </cols>
  <sheetData>
    <row r="1" spans="1:2" s="6" customFormat="1" ht="4.5" customHeight="1">
      <c r="A1" s="8"/>
      <c r="B1" s="8"/>
    </row>
    <row r="2" spans="1:13" s="6" customFormat="1" ht="15.75">
      <c r="A2" s="8"/>
      <c r="B2" s="48" t="s">
        <v>12</v>
      </c>
      <c r="C2" s="16"/>
      <c r="D2" s="16"/>
      <c r="E2" s="14"/>
      <c r="F2" s="14"/>
      <c r="G2" s="14"/>
      <c r="H2" s="14"/>
      <c r="I2" s="14"/>
      <c r="J2" s="14"/>
      <c r="K2" s="14"/>
      <c r="L2" s="14"/>
      <c r="M2" s="14"/>
    </row>
    <row r="3" spans="1:13" s="6" customFormat="1" ht="15.75">
      <c r="A3" s="8"/>
      <c r="B3" s="47" t="s">
        <v>166</v>
      </c>
      <c r="C3" s="16"/>
      <c r="D3" s="14"/>
      <c r="E3" s="16"/>
      <c r="F3" s="16"/>
      <c r="G3" s="16"/>
      <c r="H3" s="17"/>
      <c r="I3" s="16"/>
      <c r="J3" s="16"/>
      <c r="K3" s="16"/>
      <c r="L3" s="16"/>
      <c r="M3" s="16"/>
    </row>
    <row r="4" spans="1:13" s="6" customFormat="1" ht="4.5" customHeight="1">
      <c r="A4" s="8"/>
      <c r="B4" s="15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s="6" customFormat="1" ht="15.75">
      <c r="A5" s="8"/>
      <c r="B5" s="24" t="s">
        <v>10</v>
      </c>
      <c r="C5" s="16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s="6" customFormat="1" ht="15.75">
      <c r="A6" s="8"/>
      <c r="B6" s="23" t="str">
        <f>IF('[1]Tablero de Control'!$B$7='[1]Tablero de Control'!$S$7,'[1]Tablero de Control'!$S$7,IF('[1]Tablero de Control'!$B$7='[1]Tablero de Control'!$S$8,'[1]Tablero de Control'!$S$8,IF('[1]Tablero de Control'!$B$7='[1]Tablero de Control'!$S$9,'[1]Tablero de Control'!$S$9,0)))</f>
        <v>Masivo Puro</v>
      </c>
      <c r="C6" s="16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s="6" customFormat="1" ht="4.5" customHeight="1">
      <c r="A7" s="8"/>
      <c r="B7" s="15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2:13" ht="15.75">
      <c r="B8" s="51" t="s">
        <v>9</v>
      </c>
      <c r="C8" s="51">
        <f>+'[1]Financieros'!$C$11</f>
        <v>2009</v>
      </c>
      <c r="D8" s="52">
        <f>+'[1]Financieros'!D7</f>
        <v>2010</v>
      </c>
      <c r="E8" s="52">
        <f>+'[1]Financieros'!E7</f>
        <v>2011</v>
      </c>
      <c r="F8" s="52">
        <f>+'[1]Financieros'!F7</f>
        <v>2012</v>
      </c>
      <c r="G8" s="52">
        <f>+'[1]Financieros'!G7</f>
        <v>2013</v>
      </c>
      <c r="H8" s="52">
        <f>+'[1]Financieros'!H7</f>
        <v>2014</v>
      </c>
      <c r="I8" s="52">
        <f>+'[1]Financieros'!I7</f>
        <v>2015</v>
      </c>
      <c r="J8" s="52">
        <f>+'[1]Financieros'!J7</f>
        <v>2016</v>
      </c>
      <c r="K8" s="52">
        <f>+'[1]Financieros'!K7</f>
        <v>2017</v>
      </c>
      <c r="L8" s="52">
        <f>+'[1]Financieros'!L7</f>
        <v>2018</v>
      </c>
      <c r="M8" s="52">
        <f>+'[1]Financieros'!M7</f>
        <v>2019</v>
      </c>
    </row>
    <row r="9" spans="2:13" ht="15.75">
      <c r="B9" s="38" t="s">
        <v>159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2:13" ht="15.75">
      <c r="B10" s="92" t="s">
        <v>67</v>
      </c>
      <c r="C10" s="21">
        <f aca="true" t="shared" si="0" ref="C10:M10">+C11+C12</f>
        <v>109395869.57403222</v>
      </c>
      <c r="D10" s="21">
        <f t="shared" si="0"/>
        <v>115954286.74420418</v>
      </c>
      <c r="E10" s="21">
        <f t="shared" si="0"/>
        <v>122905995.22990552</v>
      </c>
      <c r="F10" s="21">
        <f t="shared" si="0"/>
        <v>130274583.94733728</v>
      </c>
      <c r="G10" s="21">
        <f t="shared" si="0"/>
        <v>138085056.8045273</v>
      </c>
      <c r="H10" s="21">
        <f t="shared" si="0"/>
        <v>146363917.58708578</v>
      </c>
      <c r="I10" s="21">
        <f t="shared" si="0"/>
        <v>155139259.86693427</v>
      </c>
      <c r="J10" s="21">
        <f t="shared" si="0"/>
        <v>164440862.57930174</v>
      </c>
      <c r="K10" s="21">
        <f t="shared" si="0"/>
        <v>174300290.92826375</v>
      </c>
      <c r="L10" s="21">
        <f t="shared" si="0"/>
        <v>184751003.61246818</v>
      </c>
      <c r="M10" s="21">
        <f t="shared" si="0"/>
        <v>195828466.41806674</v>
      </c>
    </row>
    <row r="11" spans="2:13" ht="15.75">
      <c r="B11" s="22" t="s">
        <v>82</v>
      </c>
      <c r="C11" s="21">
        <f>+Demanda!C18*1000000</f>
        <v>109128067.32985246</v>
      </c>
      <c r="D11" s="21">
        <f>+Demanda!D18*1000000</f>
        <v>115675751.40105069</v>
      </c>
      <c r="E11" s="21">
        <f>+Demanda!E18*1000000</f>
        <v>122616296.51840523</v>
      </c>
      <c r="F11" s="21">
        <f>+Demanda!F18*1000000</f>
        <v>129973274.34479856</v>
      </c>
      <c r="G11" s="21">
        <f>+Demanda!G18*1000000</f>
        <v>137771670.8428928</v>
      </c>
      <c r="H11" s="21">
        <f>+Demanda!H18*1000000</f>
        <v>146037971.1331171</v>
      </c>
      <c r="I11" s="21">
        <f>+Demanda!I18*1000000</f>
        <v>154800249.37393433</v>
      </c>
      <c r="J11" s="21">
        <f>+Demanda!J18*1000000</f>
        <v>164088264.3075704</v>
      </c>
      <c r="K11" s="21">
        <f>+Demanda!K18*1000000</f>
        <v>173933560.13549662</v>
      </c>
      <c r="L11" s="21">
        <f>+Demanda!L18*1000000</f>
        <v>184369573.7112667</v>
      </c>
      <c r="M11" s="21">
        <f>+Demanda!M18*1000000</f>
        <v>195431748.09964138</v>
      </c>
    </row>
    <row r="12" spans="2:13" ht="15.75">
      <c r="B12" s="22" t="s">
        <v>179</v>
      </c>
      <c r="C12" s="21">
        <f>+Demanda!C19*1000000</f>
        <v>267802.24417975097</v>
      </c>
      <c r="D12" s="21">
        <f>+Demanda!D19*1000000</f>
        <v>278535.3431534851</v>
      </c>
      <c r="E12" s="21">
        <f>+Demanda!E19*1000000</f>
        <v>289698.7115002901</v>
      </c>
      <c r="F12" s="21">
        <f>+Demanda!F19*1000000</f>
        <v>301309.60253871477</v>
      </c>
      <c r="G12" s="21">
        <f>+Demanda!G19*1000000</f>
        <v>313385.9616345125</v>
      </c>
      <c r="H12" s="21">
        <f>+Demanda!H19*1000000</f>
        <v>325946.4539686804</v>
      </c>
      <c r="I12" s="21">
        <f>+Demanda!I19*1000000</f>
        <v>339010.49299993005</v>
      </c>
      <c r="J12" s="21">
        <f>+Demanda!J19*1000000</f>
        <v>352598.27173134213</v>
      </c>
      <c r="K12" s="21">
        <f>+Demanda!K19*1000000</f>
        <v>366730.7927671512</v>
      </c>
      <c r="L12" s="21">
        <f>+Demanda!L19*1000000</f>
        <v>381429.9012014905</v>
      </c>
      <c r="M12" s="21">
        <f>+Demanda!M19*1000000</f>
        <v>396718.3184253452</v>
      </c>
    </row>
    <row r="13" ht="15.75">
      <c r="B13" s="38" t="s">
        <v>208</v>
      </c>
    </row>
    <row r="14" spans="2:13" ht="15.75">
      <c r="B14" s="22" t="s">
        <v>15</v>
      </c>
      <c r="C14" s="21">
        <f>IF('[1]Tablero de Control'!$B$7='[1]Tablero de Control'!$S$7,'[1]Opex'!$C$444,IF('[1]Tablero de Control'!$B$7='[1]Tablero de Control'!$S$8,'[1]Opex'!$E$444,IF('[1]Tablero de Control'!$B$7='[1]Tablero de Control'!$S$9,'[1]Opex'!$E$444,0)))</f>
        <v>61</v>
      </c>
      <c r="D14" s="21">
        <f>IF('[1]Tablero de Control'!$B$7='[1]Tablero de Control'!$S$7,'[1]Opex'!$C$444,IF('[1]Tablero de Control'!$B$7='[1]Tablero de Control'!$S$8,'[1]Opex'!$E$444,IF('[1]Tablero de Control'!$B$7='[1]Tablero de Control'!$S$9,'[1]Opex'!$E$444,0)))</f>
        <v>61</v>
      </c>
      <c r="E14" s="21">
        <f>IF('[1]Tablero de Control'!$B$7='[1]Tablero de Control'!$S$7,'[1]Opex'!$C$444,IF('[1]Tablero de Control'!$B$7='[1]Tablero de Control'!$S$8,'[1]Opex'!$E$444,IF('[1]Tablero de Control'!$B$7='[1]Tablero de Control'!$S$9,'[1]Opex'!$E$444,0)))</f>
        <v>61</v>
      </c>
      <c r="F14" s="21">
        <f>IF('[1]Tablero de Control'!$B$7='[1]Tablero de Control'!$S$7,'[1]Opex'!$C$444,IF('[1]Tablero de Control'!$B$7='[1]Tablero de Control'!$S$8,'[1]Opex'!$E$444,IF('[1]Tablero de Control'!$B$7='[1]Tablero de Control'!$S$9,'[1]Opex'!$E$444,0)))</f>
        <v>61</v>
      </c>
      <c r="G14" s="21">
        <f>IF('[1]Tablero de Control'!$B$7='[1]Tablero de Control'!$S$7,'[1]Opex'!$C$444,IF('[1]Tablero de Control'!$B$7='[1]Tablero de Control'!$S$8,'[1]Opex'!$E$444,IF('[1]Tablero de Control'!$B$7='[1]Tablero de Control'!$S$9,'[1]Opex'!$E$444,0)))</f>
        <v>61</v>
      </c>
      <c r="H14" s="21">
        <f>IF('[1]Tablero de Control'!$B$7='[1]Tablero de Control'!$S$7,'[1]Opex'!$C$444,IF('[1]Tablero de Control'!$B$7='[1]Tablero de Control'!$S$8,'[1]Opex'!$E$444,IF('[1]Tablero de Control'!$B$7='[1]Tablero de Control'!$S$9,'[1]Opex'!$E$444,0)))</f>
        <v>61</v>
      </c>
      <c r="I14" s="21">
        <f>IF('[1]Tablero de Control'!$B$7='[1]Tablero de Control'!$S$7,'[1]Opex'!$C$444,IF('[1]Tablero de Control'!$B$7='[1]Tablero de Control'!$S$8,'[1]Opex'!$E$444,IF('[1]Tablero de Control'!$B$7='[1]Tablero de Control'!$S$9,'[1]Opex'!$E$444,0)))</f>
        <v>61</v>
      </c>
      <c r="J14" s="21">
        <f>IF('[1]Tablero de Control'!$B$7='[1]Tablero de Control'!$S$7,'[1]Opex'!$C$444,IF('[1]Tablero de Control'!$B$7='[1]Tablero de Control'!$S$8,'[1]Opex'!$E$444,IF('[1]Tablero de Control'!$B$7='[1]Tablero de Control'!$S$9,'[1]Opex'!$E$444,0)))</f>
        <v>61</v>
      </c>
      <c r="K14" s="21">
        <f>IF('[1]Tablero de Control'!$B$7='[1]Tablero de Control'!$S$7,'[1]Opex'!$C$444,IF('[1]Tablero de Control'!$B$7='[1]Tablero de Control'!$S$8,'[1]Opex'!$E$444,IF('[1]Tablero de Control'!$B$7='[1]Tablero de Control'!$S$9,'[1]Opex'!$E$444,0)))</f>
        <v>61</v>
      </c>
      <c r="L14" s="21">
        <f>IF('[1]Tablero de Control'!$B$7='[1]Tablero de Control'!$S$7,'[1]Opex'!$C$444,IF('[1]Tablero de Control'!$B$7='[1]Tablero de Control'!$S$8,'[1]Opex'!$E$444,IF('[1]Tablero de Control'!$B$7='[1]Tablero de Control'!$S$9,'[1]Opex'!$E$444,0)))</f>
        <v>61</v>
      </c>
      <c r="M14" s="21">
        <f>IF('[1]Tablero de Control'!$B$7='[1]Tablero de Control'!$S$7,'[1]Opex'!$C$444,IF('[1]Tablero de Control'!$B$7='[1]Tablero de Control'!$S$8,'[1]Opex'!$E$444,IF('[1]Tablero de Control'!$B$7='[1]Tablero de Control'!$S$9,'[1]Opex'!$E$444,0)))</f>
        <v>61</v>
      </c>
    </row>
    <row r="15" spans="2:13" ht="15.75">
      <c r="B15" s="22" t="s">
        <v>207</v>
      </c>
      <c r="C15" s="21">
        <f>IF('[1]Tablero de Control'!$B$7='[1]Tablero de Control'!$S$7,'[1]Opex'!$D$444,IF('[1]Tablero de Control'!$B$7='[1]Tablero de Control'!$S$8,'[1]Opex'!$F$444,IF('[1]Tablero de Control'!$B$7='[1]Tablero de Control'!$S$9,'[1]Opex'!$F$444,0)))*12/1000000</f>
        <v>2986.8</v>
      </c>
      <c r="D15" s="21">
        <f>IF('[1]Tablero de Control'!$B$7='[1]Tablero de Control'!$S$7,'[1]Opex'!$D$444,IF('[1]Tablero de Control'!$B$7='[1]Tablero de Control'!$S$8,'[1]Opex'!$F$444,IF('[1]Tablero de Control'!$B$7='[1]Tablero de Control'!$S$9,'[1]Opex'!$F$444,0)))*12/1000000</f>
        <v>2986.8</v>
      </c>
      <c r="E15" s="21">
        <f>IF('[1]Tablero de Control'!$B$7='[1]Tablero de Control'!$S$7,'[1]Opex'!$D$444,IF('[1]Tablero de Control'!$B$7='[1]Tablero de Control'!$S$8,'[1]Opex'!$F$444,IF('[1]Tablero de Control'!$B$7='[1]Tablero de Control'!$S$9,'[1]Opex'!$F$444,0)))*12/1000000</f>
        <v>2986.8</v>
      </c>
      <c r="F15" s="21">
        <f>IF('[1]Tablero de Control'!$B$7='[1]Tablero de Control'!$S$7,'[1]Opex'!$D$444,IF('[1]Tablero de Control'!$B$7='[1]Tablero de Control'!$S$8,'[1]Opex'!$F$444,IF('[1]Tablero de Control'!$B$7='[1]Tablero de Control'!$S$9,'[1]Opex'!$F$444,0)))*12/1000000</f>
        <v>2986.8</v>
      </c>
      <c r="G15" s="21">
        <f>IF('[1]Tablero de Control'!$B$7='[1]Tablero de Control'!$S$7,'[1]Opex'!$D$444,IF('[1]Tablero de Control'!$B$7='[1]Tablero de Control'!$S$8,'[1]Opex'!$F$444,IF('[1]Tablero de Control'!$B$7='[1]Tablero de Control'!$S$9,'[1]Opex'!$F$444,0)))*12/1000000</f>
        <v>2986.8</v>
      </c>
      <c r="H15" s="21">
        <f>IF('[1]Tablero de Control'!$B$7='[1]Tablero de Control'!$S$7,'[1]Opex'!$D$444,IF('[1]Tablero de Control'!$B$7='[1]Tablero de Control'!$S$8,'[1]Opex'!$F$444,IF('[1]Tablero de Control'!$B$7='[1]Tablero de Control'!$S$9,'[1]Opex'!$F$444,0)))*12/1000000</f>
        <v>2986.8</v>
      </c>
      <c r="I15" s="21">
        <f>IF('[1]Tablero de Control'!$B$7='[1]Tablero de Control'!$S$7,'[1]Opex'!$D$444,IF('[1]Tablero de Control'!$B$7='[1]Tablero de Control'!$S$8,'[1]Opex'!$F$444,IF('[1]Tablero de Control'!$B$7='[1]Tablero de Control'!$S$9,'[1]Opex'!$F$444,0)))*12/1000000</f>
        <v>2986.8</v>
      </c>
      <c r="J15" s="21">
        <f>IF('[1]Tablero de Control'!$B$7='[1]Tablero de Control'!$S$7,'[1]Opex'!$D$444,IF('[1]Tablero de Control'!$B$7='[1]Tablero de Control'!$S$8,'[1]Opex'!$F$444,IF('[1]Tablero de Control'!$B$7='[1]Tablero de Control'!$S$9,'[1]Opex'!$F$444,0)))*12/1000000</f>
        <v>2986.8</v>
      </c>
      <c r="K15" s="21">
        <f>IF('[1]Tablero de Control'!$B$7='[1]Tablero de Control'!$S$7,'[1]Opex'!$D$444,IF('[1]Tablero de Control'!$B$7='[1]Tablero de Control'!$S$8,'[1]Opex'!$F$444,IF('[1]Tablero de Control'!$B$7='[1]Tablero de Control'!$S$9,'[1]Opex'!$F$444,0)))*12/1000000</f>
        <v>2986.8</v>
      </c>
      <c r="L15" s="21">
        <f>IF('[1]Tablero de Control'!$B$7='[1]Tablero de Control'!$S$7,'[1]Opex'!$D$444,IF('[1]Tablero de Control'!$B$7='[1]Tablero de Control'!$S$8,'[1]Opex'!$F$444,IF('[1]Tablero de Control'!$B$7='[1]Tablero de Control'!$S$9,'[1]Opex'!$F$444,0)))*12/1000000</f>
        <v>2986.8</v>
      </c>
      <c r="M15" s="21">
        <f>IF('[1]Tablero de Control'!$B$7='[1]Tablero de Control'!$S$7,'[1]Opex'!$D$444,IF('[1]Tablero de Control'!$B$7='[1]Tablero de Control'!$S$8,'[1]Opex'!$F$444,IF('[1]Tablero de Control'!$B$7='[1]Tablero de Control'!$S$9,'[1]Opex'!$F$444,0)))*12/1000000</f>
        <v>2986.8</v>
      </c>
    </row>
    <row r="16" spans="2:13" ht="15.75">
      <c r="B16" s="22" t="s">
        <v>209</v>
      </c>
      <c r="C16" s="123">
        <f>IF('[1]Tablero de Control'!$B$47='[1]Tablero de Control'!$S$65,0,'[1]Opex'!$D$450)/1000000</f>
        <v>0</v>
      </c>
      <c r="D16" s="123">
        <f>IF('[1]Tablero de Control'!$B$47='[1]Tablero de Control'!$S$65,0,'[1]Opex'!$D$450)/1000000</f>
        <v>0</v>
      </c>
      <c r="E16" s="123">
        <f>IF('[1]Tablero de Control'!$B$47='[1]Tablero de Control'!$S$65,0,'[1]Opex'!$D$450)/1000000</f>
        <v>0</v>
      </c>
      <c r="F16" s="123">
        <f>IF('[1]Tablero de Control'!$B$47='[1]Tablero de Control'!$S$65,0,'[1]Opex'!$D$450)/1000000</f>
        <v>0</v>
      </c>
      <c r="G16" s="123">
        <f>IF('[1]Tablero de Control'!$B$47='[1]Tablero de Control'!$S$65,0,'[1]Opex'!$D$450)/1000000</f>
        <v>0</v>
      </c>
      <c r="H16" s="123">
        <f>IF('[1]Tablero de Control'!$B$47='[1]Tablero de Control'!$S$65,0,'[1]Opex'!$D$450)/1000000</f>
        <v>0</v>
      </c>
      <c r="I16" s="123">
        <f>IF('[1]Tablero de Control'!$B$47='[1]Tablero de Control'!$S$65,0,'[1]Opex'!$D$450)/1000000</f>
        <v>0</v>
      </c>
      <c r="J16" s="123">
        <f>IF('[1]Tablero de Control'!$B$47='[1]Tablero de Control'!$S$65,0,'[1]Opex'!$D$450)/1000000</f>
        <v>0</v>
      </c>
      <c r="K16" s="123">
        <f>IF('[1]Tablero de Control'!$B$47='[1]Tablero de Control'!$S$65,0,'[1]Opex'!$D$450)/1000000</f>
        <v>0</v>
      </c>
      <c r="L16" s="123">
        <f>IF('[1]Tablero de Control'!$B$47='[1]Tablero de Control'!$S$65,0,'[1]Opex'!$D$450)/1000000</f>
        <v>0</v>
      </c>
      <c r="M16" s="123">
        <f>IF('[1]Tablero de Control'!$B$47='[1]Tablero de Control'!$S$65,0,'[1]Opex'!$D$450)/1000000</f>
        <v>0</v>
      </c>
    </row>
    <row r="17" spans="2:13" ht="15.75">
      <c r="B17" s="22" t="s">
        <v>216</v>
      </c>
      <c r="C17" s="123">
        <f>IF('[1]Tablero de Control'!$B$56='[1]Tablero de Control'!$S$82,0,C11*'[1]Tablero de Control'!$B$56*IF('[1]Tablero de Control'!$B$10='[1]Tablero de Control'!$S$12,'[1]Mercado'!C12,IF('[1]Tablero de Control'!$B$10='[1]Tablero de Control'!$S$13,'[1]Mercado'!C19,IF('[1]Tablero de Control'!$B$10='[1]Tablero de Control'!$S$14,'[1]Mercado'!C26,0)))*'[1]Opex'!$D$451/1000000)+IF('[1]Tablero de Control'!$B$56='[1]Tablero de Control'!$S$82,0,C12*'[1]Tablero de Control'!$B$56*IF('[1]Tablero de Control'!$B$10='[1]Tablero de Control'!$S$12,'[1]Mercado'!C13,IF('[1]Tablero de Control'!$B$10='[1]Tablero de Control'!$S$13,'[1]Mercado'!C20,IF('[1]Tablero de Control'!$B$10='[1]Tablero de Control'!$S$14,'[1]Mercado'!C27,0)))*'[1]Opex'!$D$452/1000000)</f>
        <v>0</v>
      </c>
      <c r="D17" s="123">
        <f>IF('[1]Tablero de Control'!$B$56='[1]Tablero de Control'!$S$82,0,D11*'[1]Tablero de Control'!$B$56*IF('[1]Tablero de Control'!$B$10='[1]Tablero de Control'!$S$12,'[1]Mercado'!D12,IF('[1]Tablero de Control'!$B$10='[1]Tablero de Control'!$S$13,'[1]Mercado'!D19,IF('[1]Tablero de Control'!$B$10='[1]Tablero de Control'!$S$14,'[1]Mercado'!D26,0)))*'[1]Opex'!$D$451/1000000)+IF('[1]Tablero de Control'!$B$56='[1]Tablero de Control'!$S$82,0,D12*'[1]Tablero de Control'!$B$56*IF('[1]Tablero de Control'!$B$10='[1]Tablero de Control'!$S$12,'[1]Mercado'!D13,IF('[1]Tablero de Control'!$B$10='[1]Tablero de Control'!$S$13,'[1]Mercado'!D20,IF('[1]Tablero de Control'!$B$10='[1]Tablero de Control'!$S$14,'[1]Mercado'!D27,0)))*'[1]Opex'!$D$452/1000000)</f>
        <v>0</v>
      </c>
      <c r="E17" s="123">
        <f>IF('[1]Tablero de Control'!$B$56='[1]Tablero de Control'!$S$82,0,E11*'[1]Tablero de Control'!$B$56*IF('[1]Tablero de Control'!$B$10='[1]Tablero de Control'!$S$12,'[1]Mercado'!E12,IF('[1]Tablero de Control'!$B$10='[1]Tablero de Control'!$S$13,'[1]Mercado'!E19,IF('[1]Tablero de Control'!$B$10='[1]Tablero de Control'!$S$14,'[1]Mercado'!E26,0)))*'[1]Opex'!$D$451/1000000)+IF('[1]Tablero de Control'!$B$56='[1]Tablero de Control'!$S$82,0,E12*'[1]Tablero de Control'!$B$56*IF('[1]Tablero de Control'!$B$10='[1]Tablero de Control'!$S$12,'[1]Mercado'!E13,IF('[1]Tablero de Control'!$B$10='[1]Tablero de Control'!$S$13,'[1]Mercado'!E20,IF('[1]Tablero de Control'!$B$10='[1]Tablero de Control'!$S$14,'[1]Mercado'!E27,0)))*'[1]Opex'!$D$452/1000000)</f>
        <v>0</v>
      </c>
      <c r="F17" s="123">
        <f>IF('[1]Tablero de Control'!$B$56='[1]Tablero de Control'!$S$82,0,F11*'[1]Tablero de Control'!$B$56*IF('[1]Tablero de Control'!$B$10='[1]Tablero de Control'!$S$12,'[1]Mercado'!F12,IF('[1]Tablero de Control'!$B$10='[1]Tablero de Control'!$S$13,'[1]Mercado'!F19,IF('[1]Tablero de Control'!$B$10='[1]Tablero de Control'!$S$14,'[1]Mercado'!F26,0)))*'[1]Opex'!$D$451/1000000)+IF('[1]Tablero de Control'!$B$56='[1]Tablero de Control'!$S$82,0,F12*'[1]Tablero de Control'!$B$56*IF('[1]Tablero de Control'!$B$10='[1]Tablero de Control'!$S$12,'[1]Mercado'!F13,IF('[1]Tablero de Control'!$B$10='[1]Tablero de Control'!$S$13,'[1]Mercado'!F20,IF('[1]Tablero de Control'!$B$10='[1]Tablero de Control'!$S$14,'[1]Mercado'!F27,0)))*'[1]Opex'!$D$452/1000000)</f>
        <v>0</v>
      </c>
      <c r="G17" s="123">
        <f>IF('[1]Tablero de Control'!$B$56='[1]Tablero de Control'!$S$82,0,G11*'[1]Tablero de Control'!$B$56*IF('[1]Tablero de Control'!$B$10='[1]Tablero de Control'!$S$12,'[1]Mercado'!G12,IF('[1]Tablero de Control'!$B$10='[1]Tablero de Control'!$S$13,'[1]Mercado'!G19,IF('[1]Tablero de Control'!$B$10='[1]Tablero de Control'!$S$14,'[1]Mercado'!G26,0)))*'[1]Opex'!$D$451/1000000)+IF('[1]Tablero de Control'!$B$56='[1]Tablero de Control'!$S$82,0,G12*'[1]Tablero de Control'!$B$56*IF('[1]Tablero de Control'!$B$10='[1]Tablero de Control'!$S$12,'[1]Mercado'!G13,IF('[1]Tablero de Control'!$B$10='[1]Tablero de Control'!$S$13,'[1]Mercado'!G20,IF('[1]Tablero de Control'!$B$10='[1]Tablero de Control'!$S$14,'[1]Mercado'!G27,0)))*'[1]Opex'!$D$452/1000000)</f>
        <v>0</v>
      </c>
      <c r="H17" s="123">
        <f>IF('[1]Tablero de Control'!$B$56='[1]Tablero de Control'!$S$82,0,H11*'[1]Tablero de Control'!$B$56*IF('[1]Tablero de Control'!$B$10='[1]Tablero de Control'!$S$12,'[1]Mercado'!H12,IF('[1]Tablero de Control'!$B$10='[1]Tablero de Control'!$S$13,'[1]Mercado'!H19,IF('[1]Tablero de Control'!$B$10='[1]Tablero de Control'!$S$14,'[1]Mercado'!H26,0)))*'[1]Opex'!$D$451/1000000)+IF('[1]Tablero de Control'!$B$56='[1]Tablero de Control'!$S$82,0,H12*'[1]Tablero de Control'!$B$56*IF('[1]Tablero de Control'!$B$10='[1]Tablero de Control'!$S$12,'[1]Mercado'!H13,IF('[1]Tablero de Control'!$B$10='[1]Tablero de Control'!$S$13,'[1]Mercado'!H20,IF('[1]Tablero de Control'!$B$10='[1]Tablero de Control'!$S$14,'[1]Mercado'!H27,0)))*'[1]Opex'!$D$452/1000000)</f>
        <v>0</v>
      </c>
      <c r="I17" s="123">
        <f>IF('[1]Tablero de Control'!$B$56='[1]Tablero de Control'!$S$82,0,I11*'[1]Tablero de Control'!$B$56*IF('[1]Tablero de Control'!$B$10='[1]Tablero de Control'!$S$12,'[1]Mercado'!I12,IF('[1]Tablero de Control'!$B$10='[1]Tablero de Control'!$S$13,'[1]Mercado'!I19,IF('[1]Tablero de Control'!$B$10='[1]Tablero de Control'!$S$14,'[1]Mercado'!I26,0)))*'[1]Opex'!$D$451/1000000)+IF('[1]Tablero de Control'!$B$56='[1]Tablero de Control'!$S$82,0,I12*'[1]Tablero de Control'!$B$56*IF('[1]Tablero de Control'!$B$10='[1]Tablero de Control'!$S$12,'[1]Mercado'!I13,IF('[1]Tablero de Control'!$B$10='[1]Tablero de Control'!$S$13,'[1]Mercado'!I20,IF('[1]Tablero de Control'!$B$10='[1]Tablero de Control'!$S$14,'[1]Mercado'!I27,0)))*'[1]Opex'!$D$452/1000000)</f>
        <v>0</v>
      </c>
      <c r="J17" s="123">
        <f>IF('[1]Tablero de Control'!$B$56='[1]Tablero de Control'!$S$82,0,J11*'[1]Tablero de Control'!$B$56*IF('[1]Tablero de Control'!$B$10='[1]Tablero de Control'!$S$12,'[1]Mercado'!J12,IF('[1]Tablero de Control'!$B$10='[1]Tablero de Control'!$S$13,'[1]Mercado'!J19,IF('[1]Tablero de Control'!$B$10='[1]Tablero de Control'!$S$14,'[1]Mercado'!J26,0)))*'[1]Opex'!$D$451/1000000)+IF('[1]Tablero de Control'!$B$56='[1]Tablero de Control'!$S$82,0,J12*'[1]Tablero de Control'!$B$56*IF('[1]Tablero de Control'!$B$10='[1]Tablero de Control'!$S$12,'[1]Mercado'!J13,IF('[1]Tablero de Control'!$B$10='[1]Tablero de Control'!$S$13,'[1]Mercado'!J20,IF('[1]Tablero de Control'!$B$10='[1]Tablero de Control'!$S$14,'[1]Mercado'!J27,0)))*'[1]Opex'!$D$452/1000000)</f>
        <v>0</v>
      </c>
      <c r="K17" s="123">
        <f>IF('[1]Tablero de Control'!$B$56='[1]Tablero de Control'!$S$82,0,K11*'[1]Tablero de Control'!$B$56*IF('[1]Tablero de Control'!$B$10='[1]Tablero de Control'!$S$12,'[1]Mercado'!K12,IF('[1]Tablero de Control'!$B$10='[1]Tablero de Control'!$S$13,'[1]Mercado'!K19,IF('[1]Tablero de Control'!$B$10='[1]Tablero de Control'!$S$14,'[1]Mercado'!K26,0)))*'[1]Opex'!$D$451/1000000)+IF('[1]Tablero de Control'!$B$56='[1]Tablero de Control'!$S$82,0,K12*'[1]Tablero de Control'!$B$56*IF('[1]Tablero de Control'!$B$10='[1]Tablero de Control'!$S$12,'[1]Mercado'!K13,IF('[1]Tablero de Control'!$B$10='[1]Tablero de Control'!$S$13,'[1]Mercado'!K20,IF('[1]Tablero de Control'!$B$10='[1]Tablero de Control'!$S$14,'[1]Mercado'!K27,0)))*'[1]Opex'!$D$452/1000000)</f>
        <v>0</v>
      </c>
      <c r="L17" s="123">
        <f>IF('[1]Tablero de Control'!$B$56='[1]Tablero de Control'!$S$82,0,L11*'[1]Tablero de Control'!$B$56*IF('[1]Tablero de Control'!$B$10='[1]Tablero de Control'!$S$12,'[1]Mercado'!L12,IF('[1]Tablero de Control'!$B$10='[1]Tablero de Control'!$S$13,'[1]Mercado'!L19,IF('[1]Tablero de Control'!$B$10='[1]Tablero de Control'!$S$14,'[1]Mercado'!L26,0)))*'[1]Opex'!$D$451/1000000)+IF('[1]Tablero de Control'!$B$56='[1]Tablero de Control'!$S$82,0,L12*'[1]Tablero de Control'!$B$56*IF('[1]Tablero de Control'!$B$10='[1]Tablero de Control'!$S$12,'[1]Mercado'!L13,IF('[1]Tablero de Control'!$B$10='[1]Tablero de Control'!$S$13,'[1]Mercado'!L20,IF('[1]Tablero de Control'!$B$10='[1]Tablero de Control'!$S$14,'[1]Mercado'!L27,0)))*'[1]Opex'!$D$452/1000000)</f>
        <v>0</v>
      </c>
      <c r="M17" s="123">
        <f>IF('[1]Tablero de Control'!$B$56='[1]Tablero de Control'!$S$82,0,M11*'[1]Tablero de Control'!$B$56*IF('[1]Tablero de Control'!$B$10='[1]Tablero de Control'!$S$12,'[1]Mercado'!M12,IF('[1]Tablero de Control'!$B$10='[1]Tablero de Control'!$S$13,'[1]Mercado'!M19,IF('[1]Tablero de Control'!$B$10='[1]Tablero de Control'!$S$14,'[1]Mercado'!M26,0)))*'[1]Opex'!$D$451/1000000)+IF('[1]Tablero de Control'!$B$56='[1]Tablero de Control'!$S$82,0,M12*'[1]Tablero de Control'!$B$56*IF('[1]Tablero de Control'!$B$10='[1]Tablero de Control'!$S$12,'[1]Mercado'!M13,IF('[1]Tablero de Control'!$B$10='[1]Tablero de Control'!$S$13,'[1]Mercado'!M20,IF('[1]Tablero de Control'!$B$10='[1]Tablero de Control'!$S$14,'[1]Mercado'!M27,0)))*'[1]Opex'!$D$452/1000000)</f>
        <v>0</v>
      </c>
    </row>
    <row r="18" spans="2:13" ht="15.75">
      <c r="B18" s="22" t="s">
        <v>220</v>
      </c>
      <c r="C18" s="123">
        <f>IF('[1]Tablero de Control'!$B$47='[1]Tablero de Control'!$S$65,0,((C10*'[1]Opex'!$D$454*'[1]Opex'!$D$456*'[1]Opex'!$D$457)/('[1]Opex'!$D$458*'[1]Opex'!$C$195*'[1]Opex'!$C$196*12))*'[1]Opex'!$D$459/1000000)</f>
        <v>0</v>
      </c>
      <c r="D18" s="123">
        <f>IF('[1]Tablero de Control'!$B$47='[1]Tablero de Control'!$S$65,0,((D10*'[1]Opex'!$D$454*'[1]Opex'!$D$456*'[1]Opex'!$D$457)/('[1]Opex'!$D$458*'[1]Opex'!$C$195*'[1]Opex'!$C$196*12))*'[1]Opex'!$D$459/1000000)</f>
        <v>0</v>
      </c>
      <c r="E18" s="123">
        <f>IF('[1]Tablero de Control'!$B$47='[1]Tablero de Control'!$S$65,0,((E10*'[1]Opex'!$D$454*'[1]Opex'!$D$456*'[1]Opex'!$D$457)/('[1]Opex'!$D$458*'[1]Opex'!$C$195*'[1]Opex'!$C$196*12))*'[1]Opex'!$D$459/1000000)</f>
        <v>0</v>
      </c>
      <c r="F18" s="123">
        <f>IF('[1]Tablero de Control'!$B$47='[1]Tablero de Control'!$S$65,0,((F10*'[1]Opex'!$D$454*'[1]Opex'!$D$456*'[1]Opex'!$D$457)/('[1]Opex'!$D$458*'[1]Opex'!$C$195*'[1]Opex'!$C$196*12))*'[1]Opex'!$D$459/1000000)</f>
        <v>0</v>
      </c>
      <c r="G18" s="123">
        <f>IF('[1]Tablero de Control'!$B$47='[1]Tablero de Control'!$S$65,0,((G10*'[1]Opex'!$D$454*'[1]Opex'!$D$456*'[1]Opex'!$D$457)/('[1]Opex'!$D$458*'[1]Opex'!$C$195*'[1]Opex'!$C$196*12))*'[1]Opex'!$D$459/1000000)</f>
        <v>0</v>
      </c>
      <c r="H18" s="123">
        <f>IF('[1]Tablero de Control'!$B$47='[1]Tablero de Control'!$S$65,0,((H10*'[1]Opex'!$D$454*'[1]Opex'!$D$456*'[1]Opex'!$D$457)/('[1]Opex'!$D$458*'[1]Opex'!$C$195*'[1]Opex'!$C$196*12))*'[1]Opex'!$D$459/1000000)</f>
        <v>0</v>
      </c>
      <c r="I18" s="123">
        <f>IF('[1]Tablero de Control'!$B$47='[1]Tablero de Control'!$S$65,0,((I10*'[1]Opex'!$D$454*'[1]Opex'!$D$456*'[1]Opex'!$D$457)/('[1]Opex'!$D$458*'[1]Opex'!$C$195*'[1]Opex'!$C$196*12))*'[1]Opex'!$D$459/1000000)</f>
        <v>0</v>
      </c>
      <c r="J18" s="123">
        <f>IF('[1]Tablero de Control'!$B$47='[1]Tablero de Control'!$S$65,0,((J10*'[1]Opex'!$D$454*'[1]Opex'!$D$456*'[1]Opex'!$D$457)/('[1]Opex'!$D$458*'[1]Opex'!$C$195*'[1]Opex'!$C$196*12))*'[1]Opex'!$D$459/1000000)</f>
        <v>0</v>
      </c>
      <c r="K18" s="123">
        <f>IF('[1]Tablero de Control'!$B$47='[1]Tablero de Control'!$S$65,0,((K10*'[1]Opex'!$D$454*'[1]Opex'!$D$456*'[1]Opex'!$D$457)/('[1]Opex'!$D$458*'[1]Opex'!$C$195*'[1]Opex'!$C$196*12))*'[1]Opex'!$D$459/1000000)</f>
        <v>0</v>
      </c>
      <c r="L18" s="123">
        <f>IF('[1]Tablero de Control'!$B$47='[1]Tablero de Control'!$S$65,0,((L10*'[1]Opex'!$D$454*'[1]Opex'!$D$456*'[1]Opex'!$D$457)/('[1]Opex'!$D$458*'[1]Opex'!$C$195*'[1]Opex'!$C$196*12))*'[1]Opex'!$D$459/1000000)</f>
        <v>0</v>
      </c>
      <c r="M18" s="123">
        <f>IF('[1]Tablero de Control'!$B$47='[1]Tablero de Control'!$S$65,0,((M10*'[1]Opex'!$D$454*'[1]Opex'!$D$456*'[1]Opex'!$D$457)/('[1]Opex'!$D$458*'[1]Opex'!$C$195*'[1]Opex'!$C$196*12))*'[1]Opex'!$D$459/1000000)</f>
        <v>0</v>
      </c>
    </row>
    <row r="19" spans="2:13" ht="15.75">
      <c r="B19" s="22" t="s">
        <v>215</v>
      </c>
      <c r="C19" s="21">
        <f>SUM(C15:C18)</f>
        <v>2986.8</v>
      </c>
      <c r="D19" s="21">
        <f aca="true" t="shared" si="1" ref="D19:M19">SUM(D15:D18)</f>
        <v>2986.8</v>
      </c>
      <c r="E19" s="21">
        <f t="shared" si="1"/>
        <v>2986.8</v>
      </c>
      <c r="F19" s="21">
        <f t="shared" si="1"/>
        <v>2986.8</v>
      </c>
      <c r="G19" s="21">
        <f t="shared" si="1"/>
        <v>2986.8</v>
      </c>
      <c r="H19" s="21">
        <f t="shared" si="1"/>
        <v>2986.8</v>
      </c>
      <c r="I19" s="21">
        <f t="shared" si="1"/>
        <v>2986.8</v>
      </c>
      <c r="J19" s="21">
        <f t="shared" si="1"/>
        <v>2986.8</v>
      </c>
      <c r="K19" s="21">
        <f t="shared" si="1"/>
        <v>2986.8</v>
      </c>
      <c r="L19" s="21">
        <f t="shared" si="1"/>
        <v>2986.8</v>
      </c>
      <c r="M19" s="21">
        <f t="shared" si="1"/>
        <v>2986.8</v>
      </c>
    </row>
    <row r="20" ht="15.75">
      <c r="B20" s="38" t="s">
        <v>167</v>
      </c>
    </row>
    <row r="21" ht="15.75">
      <c r="B21" s="95" t="s">
        <v>72</v>
      </c>
    </row>
    <row r="22" spans="2:13" ht="15.75">
      <c r="B22" s="22" t="s">
        <v>84</v>
      </c>
      <c r="C22" s="21">
        <f>+C14*('[1]Capex'!$D$149+'[1]Capex'!$D$150)/1000000</f>
        <v>14.64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ht="15.75">
      <c r="B23" s="95" t="s">
        <v>168</v>
      </c>
    </row>
    <row r="24" spans="2:13" ht="15.75">
      <c r="B24" s="22" t="s">
        <v>84</v>
      </c>
      <c r="C24" s="54">
        <f>+$C$14*'[1]Capex'!$D$152/1000000</f>
        <v>146.4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</row>
    <row r="25" spans="2:13" ht="15.75">
      <c r="B25" s="56" t="s">
        <v>205</v>
      </c>
      <c r="C25" s="54">
        <f>IF('[1]Tablero de Control'!$B$47='[1]Tablero de Control'!$S$65,0,'[1]Capex'!$D$161)/1000000</f>
        <v>0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2:13" ht="15.75">
      <c r="B26" s="56" t="s">
        <v>218</v>
      </c>
      <c r="C26" s="54">
        <f>IF('[1]Tablero de Control'!$B$59='[1]Tablero de Control'!$S$89,0,'[1]Capex'!$D$163/1000000)</f>
        <v>0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2:13" ht="15.75">
      <c r="B27" s="22" t="s">
        <v>84</v>
      </c>
      <c r="C27" s="54">
        <f>SUM(C24:C26)</f>
        <v>146.4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</row>
    <row r="28" ht="15.75">
      <c r="B28" s="95" t="s">
        <v>169</v>
      </c>
    </row>
    <row r="29" spans="2:13" ht="15.75">
      <c r="B29" s="22" t="s">
        <v>84</v>
      </c>
      <c r="C29" s="54">
        <f>SUM('[1]Capex'!$D$154:$D$156)/1000000</f>
        <v>150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</row>
    <row r="30" ht="15.75">
      <c r="B30" s="38" t="s">
        <v>219</v>
      </c>
    </row>
    <row r="31" spans="2:13" ht="15.75">
      <c r="B31" s="22" t="s">
        <v>15</v>
      </c>
      <c r="C31" s="21">
        <f>IF('[1]Tablero de Control'!$B$7='[1]Tablero de Control'!$S$7,'[1]Opex'!$C$447,IF('[1]Tablero de Control'!$B$7='[1]Tablero de Control'!$S$8,'[1]Opex'!$E$447,IF('[1]Tablero de Control'!$B$7='[1]Tablero de Control'!$S$9,'[1]Opex'!$E$447,0)))</f>
        <v>45</v>
      </c>
      <c r="D31" s="21">
        <f>IF('[1]Tablero de Control'!$B$7='[1]Tablero de Control'!$S$7,'[1]Opex'!$C$447,IF('[1]Tablero de Control'!$B$7='[1]Tablero de Control'!$S$8,'[1]Opex'!$E$447,IF('[1]Tablero de Control'!$B$7='[1]Tablero de Control'!$S$9,'[1]Opex'!$E$447,0)))</f>
        <v>45</v>
      </c>
      <c r="E31" s="21">
        <f>IF('[1]Tablero de Control'!$B$7='[1]Tablero de Control'!$S$7,'[1]Opex'!$C$447,IF('[1]Tablero de Control'!$B$7='[1]Tablero de Control'!$S$8,'[1]Opex'!$E$447,IF('[1]Tablero de Control'!$B$7='[1]Tablero de Control'!$S$9,'[1]Opex'!$E$447,0)))</f>
        <v>45</v>
      </c>
      <c r="F31" s="21">
        <f>IF('[1]Tablero de Control'!$B$7='[1]Tablero de Control'!$S$7,'[1]Opex'!$C$447,IF('[1]Tablero de Control'!$B$7='[1]Tablero de Control'!$S$8,'[1]Opex'!$E$447,IF('[1]Tablero de Control'!$B$7='[1]Tablero de Control'!$S$9,'[1]Opex'!$E$447,0)))</f>
        <v>45</v>
      </c>
      <c r="G31" s="21">
        <f>IF('[1]Tablero de Control'!$B$7='[1]Tablero de Control'!$S$7,'[1]Opex'!$C$447,IF('[1]Tablero de Control'!$B$7='[1]Tablero de Control'!$S$8,'[1]Opex'!$E$447,IF('[1]Tablero de Control'!$B$7='[1]Tablero de Control'!$S$9,'[1]Opex'!$E$447,0)))</f>
        <v>45</v>
      </c>
      <c r="H31" s="21">
        <f>IF('[1]Tablero de Control'!$B$7='[1]Tablero de Control'!$S$7,'[1]Opex'!$C$447,IF('[1]Tablero de Control'!$B$7='[1]Tablero de Control'!$S$8,'[1]Opex'!$E$447,IF('[1]Tablero de Control'!$B$7='[1]Tablero de Control'!$S$9,'[1]Opex'!$E$447,0)))</f>
        <v>45</v>
      </c>
      <c r="I31" s="21">
        <f>IF('[1]Tablero de Control'!$B$7='[1]Tablero de Control'!$S$7,'[1]Opex'!$C$447,IF('[1]Tablero de Control'!$B$7='[1]Tablero de Control'!$S$8,'[1]Opex'!$E$447,IF('[1]Tablero de Control'!$B$7='[1]Tablero de Control'!$S$9,'[1]Opex'!$E$447,0)))</f>
        <v>45</v>
      </c>
      <c r="J31" s="21">
        <f>IF('[1]Tablero de Control'!$B$7='[1]Tablero de Control'!$S$7,'[1]Opex'!$C$447,IF('[1]Tablero de Control'!$B$7='[1]Tablero de Control'!$S$8,'[1]Opex'!$E$447,IF('[1]Tablero de Control'!$B$7='[1]Tablero de Control'!$S$9,'[1]Opex'!$E$447,0)))</f>
        <v>45</v>
      </c>
      <c r="K31" s="21">
        <f>IF('[1]Tablero de Control'!$B$7='[1]Tablero de Control'!$S$7,'[1]Opex'!$C$447,IF('[1]Tablero de Control'!$B$7='[1]Tablero de Control'!$S$8,'[1]Opex'!$E$447,IF('[1]Tablero de Control'!$B$7='[1]Tablero de Control'!$S$9,'[1]Opex'!$E$447,0)))</f>
        <v>45</v>
      </c>
      <c r="L31" s="21">
        <f>IF('[1]Tablero de Control'!$B$7='[1]Tablero de Control'!$S$7,'[1]Opex'!$C$447,IF('[1]Tablero de Control'!$B$7='[1]Tablero de Control'!$S$8,'[1]Opex'!$E$447,IF('[1]Tablero de Control'!$B$7='[1]Tablero de Control'!$S$9,'[1]Opex'!$E$447,0)))</f>
        <v>45</v>
      </c>
      <c r="M31" s="21">
        <f>IF('[1]Tablero de Control'!$B$7='[1]Tablero de Control'!$S$7,'[1]Opex'!$C$447,IF('[1]Tablero de Control'!$B$7='[1]Tablero de Control'!$S$8,'[1]Opex'!$E$447,IF('[1]Tablero de Control'!$B$7='[1]Tablero de Control'!$S$9,'[1]Opex'!$E$447,0)))</f>
        <v>45</v>
      </c>
    </row>
    <row r="32" spans="2:13" ht="15.75">
      <c r="B32" s="22" t="s">
        <v>177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2:13" ht="15.75">
      <c r="B33" s="22" t="s">
        <v>84</v>
      </c>
      <c r="C33" s="21">
        <f>IF('[1]Tablero de Control'!$B$7='[1]Tablero de Control'!$S$7,'[1]Opex'!$D$447,IF('[1]Tablero de Control'!$B$7='[1]Tablero de Control'!$S$8,'[1]Opex'!$F$447,IF('[1]Tablero de Control'!$B$7='[1]Tablero de Control'!$S$9,'[1]Opex'!$F$447,0)))*12/1000000</f>
        <v>2149.2</v>
      </c>
      <c r="D33" s="21">
        <f>IF('[1]Tablero de Control'!$B$7='[1]Tablero de Control'!$S$7,'[1]Opex'!$D$447,IF('[1]Tablero de Control'!$B$7='[1]Tablero de Control'!$S$8,'[1]Opex'!$F$447,IF('[1]Tablero de Control'!$B$7='[1]Tablero de Control'!$S$9,'[1]Opex'!$F$447,0)))*12/1000000</f>
        <v>2149.2</v>
      </c>
      <c r="E33" s="21">
        <f>IF('[1]Tablero de Control'!$B$7='[1]Tablero de Control'!$S$7,'[1]Opex'!$D$447,IF('[1]Tablero de Control'!$B$7='[1]Tablero de Control'!$S$8,'[1]Opex'!$F$447,IF('[1]Tablero de Control'!$B$7='[1]Tablero de Control'!$S$9,'[1]Opex'!$F$447,0)))*12/1000000</f>
        <v>2149.2</v>
      </c>
      <c r="F33" s="21">
        <f>IF('[1]Tablero de Control'!$B$7='[1]Tablero de Control'!$S$7,'[1]Opex'!$D$447,IF('[1]Tablero de Control'!$B$7='[1]Tablero de Control'!$S$8,'[1]Opex'!$F$447,IF('[1]Tablero de Control'!$B$7='[1]Tablero de Control'!$S$9,'[1]Opex'!$F$447,0)))*12/1000000</f>
        <v>2149.2</v>
      </c>
      <c r="G33" s="21">
        <f>IF('[1]Tablero de Control'!$B$7='[1]Tablero de Control'!$S$7,'[1]Opex'!$D$447,IF('[1]Tablero de Control'!$B$7='[1]Tablero de Control'!$S$8,'[1]Opex'!$F$447,IF('[1]Tablero de Control'!$B$7='[1]Tablero de Control'!$S$9,'[1]Opex'!$F$447,0)))*12/1000000</f>
        <v>2149.2</v>
      </c>
      <c r="H33" s="21">
        <f>IF('[1]Tablero de Control'!$B$7='[1]Tablero de Control'!$S$7,'[1]Opex'!$D$447,IF('[1]Tablero de Control'!$B$7='[1]Tablero de Control'!$S$8,'[1]Opex'!$F$447,IF('[1]Tablero de Control'!$B$7='[1]Tablero de Control'!$S$9,'[1]Opex'!$F$447,0)))*12/1000000</f>
        <v>2149.2</v>
      </c>
      <c r="I33" s="21">
        <f>IF('[1]Tablero de Control'!$B$7='[1]Tablero de Control'!$S$7,'[1]Opex'!$D$447,IF('[1]Tablero de Control'!$B$7='[1]Tablero de Control'!$S$8,'[1]Opex'!$F$447,IF('[1]Tablero de Control'!$B$7='[1]Tablero de Control'!$S$9,'[1]Opex'!$F$447,0)))*12/1000000</f>
        <v>2149.2</v>
      </c>
      <c r="J33" s="21">
        <f>IF('[1]Tablero de Control'!$B$7='[1]Tablero de Control'!$S$7,'[1]Opex'!$D$447,IF('[1]Tablero de Control'!$B$7='[1]Tablero de Control'!$S$8,'[1]Opex'!$F$447,IF('[1]Tablero de Control'!$B$7='[1]Tablero de Control'!$S$9,'[1]Opex'!$F$447,0)))*12/1000000</f>
        <v>2149.2</v>
      </c>
      <c r="K33" s="21">
        <f>IF('[1]Tablero de Control'!$B$7='[1]Tablero de Control'!$S$7,'[1]Opex'!$D$447,IF('[1]Tablero de Control'!$B$7='[1]Tablero de Control'!$S$8,'[1]Opex'!$F$447,IF('[1]Tablero de Control'!$B$7='[1]Tablero de Control'!$S$9,'[1]Opex'!$F$447,0)))*12/1000000</f>
        <v>2149.2</v>
      </c>
      <c r="L33" s="21">
        <f>IF('[1]Tablero de Control'!$B$7='[1]Tablero de Control'!$S$7,'[1]Opex'!$D$447,IF('[1]Tablero de Control'!$B$7='[1]Tablero de Control'!$S$8,'[1]Opex'!$F$447,IF('[1]Tablero de Control'!$B$7='[1]Tablero de Control'!$S$9,'[1]Opex'!$F$447,0)))*12/1000000</f>
        <v>2149.2</v>
      </c>
      <c r="M33" s="21">
        <f>IF('[1]Tablero de Control'!$B$7='[1]Tablero de Control'!$S$7,'[1]Opex'!$D$447,IF('[1]Tablero de Control'!$B$7='[1]Tablero de Control'!$S$8,'[1]Opex'!$F$447,IF('[1]Tablero de Control'!$B$7='[1]Tablero de Control'!$S$9,'[1]Opex'!$F$447,0)))*12/1000000</f>
        <v>2149.2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isabel.fajardo</cp:lastModifiedBy>
  <dcterms:created xsi:type="dcterms:W3CDTF">2010-04-03T22:38:29Z</dcterms:created>
  <dcterms:modified xsi:type="dcterms:W3CDTF">2010-10-23T02:35:39Z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